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5" windowWidth="14160" windowHeight="8445" tabRatio="919" activeTab="4"/>
  </bookViews>
  <sheets>
    <sheet name="도지사(A)" sheetId="4" r:id="rId1"/>
    <sheet name="시장(A)" sheetId="11" r:id="rId2"/>
    <sheet name="도의원(2A)" sheetId="13" r:id="rId3"/>
    <sheet name="시의원(가A)" sheetId="14" r:id="rId4"/>
    <sheet name="시의원(나A)" sheetId="15" r:id="rId5"/>
    <sheet name="시의원(다A)" sheetId="16" r:id="rId6"/>
    <sheet name="시의원(라A)" sheetId="17" r:id="rId7"/>
    <sheet name="교육감(A)" sheetId="20" r:id="rId8"/>
    <sheet name="도의원(비례A)" sheetId="22" r:id="rId9"/>
    <sheet name="시의원(비례A)" sheetId="19" r:id="rId10"/>
    <sheet name="VXXXXXXX" sheetId="5" state="veryHidden" r:id="rId11"/>
    <sheet name="VXXXXXXXXXXX" sheetId="6" state="veryHidden" r:id="rId12"/>
    <sheet name="Recovered_Sheet1" sheetId="7" state="veryHidden" r:id="rId13"/>
    <sheet name="Recovered_Sheet2" sheetId="8" state="veryHidden" r:id="rId14"/>
    <sheet name="Recovered_Sheet3" sheetId="9" state="veryHidden" r:id="rId15"/>
    <sheet name="Recovered_Sheet4" sheetId="10" state="veryHidden" r:id="rId16"/>
  </sheets>
  <definedNames>
    <definedName name="_xlnm.Print_Area" localSheetId="7">'교육감(A)'!$A$1:$Q$26</definedName>
    <definedName name="_xlnm.Print_Area" localSheetId="2">'도의원(2A)'!$A$2:$O$18</definedName>
    <definedName name="_xlnm.Print_Area" localSheetId="8">'도의원(비례A)'!$A$1:$W$26</definedName>
    <definedName name="_xlnm.Print_Area" localSheetId="0">'도지사(A)'!$A$1:$S$26</definedName>
    <definedName name="_xlnm.Print_Area" localSheetId="3">'시의원(가A)'!$A$1:$Q$14</definedName>
    <definedName name="_xlnm.Print_Area" localSheetId="4">'시의원(나A)'!$A$1:$U$15</definedName>
    <definedName name="_xlnm.Print_Area" localSheetId="5">'시의원(다A)'!$A$1:$W$12</definedName>
    <definedName name="_xlnm.Print_Area" localSheetId="6">'시의원(라A)'!$A$1:$Q$15</definedName>
    <definedName name="_xlnm.Print_Area" localSheetId="9">'시의원(비례A)'!$A$1:$O$26</definedName>
    <definedName name="_xlnm.Print_Area" localSheetId="1">'시장(A)'!$A$1:$O$26</definedName>
    <definedName name="_xlnm.Print_Titles" localSheetId="7">'교육감(A)'!$3:$5</definedName>
    <definedName name="_xlnm.Print_Titles" localSheetId="2">'도의원(2A)'!$4:$6</definedName>
    <definedName name="_xlnm.Print_Titles" localSheetId="8">'도의원(비례A)'!$3:$5</definedName>
    <definedName name="_xlnm.Print_Titles" localSheetId="0">'도지사(A)'!$3:$5</definedName>
    <definedName name="_xlnm.Print_Titles" localSheetId="3">'시의원(가A)'!$3:$5</definedName>
    <definedName name="_xlnm.Print_Titles" localSheetId="4">'시의원(나A)'!$3:$5</definedName>
    <definedName name="_xlnm.Print_Titles" localSheetId="5">'시의원(다A)'!$3:$5</definedName>
    <definedName name="_xlnm.Print_Titles" localSheetId="6">'시의원(라A)'!$3:$5</definedName>
    <definedName name="_xlnm.Print_Titles" localSheetId="9">'시의원(비례A)'!$3:$5</definedName>
    <definedName name="_xlnm.Print_Titles" localSheetId="1">'시장(A)'!$3:$5</definedName>
  </definedNames>
  <calcPr calcId="124519" fullCalcOnLoad="1"/>
</workbook>
</file>

<file path=xl/calcChain.xml><?xml version="1.0" encoding="utf-8"?>
<calcChain xmlns="http://schemas.openxmlformats.org/spreadsheetml/2006/main">
  <c r="H6" i="19"/>
  <c r="F6"/>
  <c r="D6"/>
  <c r="C6"/>
  <c r="N9"/>
  <c r="L9"/>
  <c r="J9"/>
  <c r="H9"/>
  <c r="F9"/>
  <c r="D9"/>
  <c r="E9"/>
  <c r="C9"/>
  <c r="P9" i="22"/>
  <c r="N9"/>
  <c r="L9"/>
  <c r="J9"/>
  <c r="J6"/>
  <c r="H9"/>
  <c r="F9"/>
  <c r="D9"/>
  <c r="P9" i="20"/>
  <c r="N9"/>
  <c r="L9"/>
  <c r="J9"/>
  <c r="H9"/>
  <c r="F9"/>
  <c r="D9"/>
  <c r="P9" i="17"/>
  <c r="N9"/>
  <c r="L9"/>
  <c r="J9"/>
  <c r="H9"/>
  <c r="F9"/>
  <c r="D9"/>
  <c r="V9" i="16"/>
  <c r="T9"/>
  <c r="R9"/>
  <c r="P9"/>
  <c r="N9"/>
  <c r="L9"/>
  <c r="J9"/>
  <c r="H9"/>
  <c r="F9"/>
  <c r="D9"/>
  <c r="T9" i="15"/>
  <c r="R9"/>
  <c r="P9"/>
  <c r="N9"/>
  <c r="L9"/>
  <c r="J9"/>
  <c r="H9"/>
  <c r="F9"/>
  <c r="D9"/>
  <c r="P9" i="14"/>
  <c r="N9"/>
  <c r="L9"/>
  <c r="J9"/>
  <c r="H9"/>
  <c r="F9"/>
  <c r="D9"/>
  <c r="N10" i="13"/>
  <c r="L10"/>
  <c r="J10"/>
  <c r="H10"/>
  <c r="H7"/>
  <c r="F10"/>
  <c r="D10"/>
  <c r="Q8" i="11"/>
  <c r="H9"/>
  <c r="F9"/>
  <c r="F6"/>
  <c r="D9"/>
  <c r="L9" i="4"/>
  <c r="J9"/>
  <c r="H9"/>
  <c r="F9"/>
  <c r="C9" i="22"/>
  <c r="E9" i="20"/>
  <c r="C9"/>
  <c r="B9"/>
  <c r="C9" i="17"/>
  <c r="N6" i="16"/>
  <c r="J6"/>
  <c r="C9"/>
  <c r="N6" i="15"/>
  <c r="H6"/>
  <c r="E9"/>
  <c r="C9"/>
  <c r="C9" i="14"/>
  <c r="C10" i="13"/>
  <c r="H6" i="11"/>
  <c r="D6"/>
  <c r="L6" i="4"/>
  <c r="H6"/>
  <c r="D9"/>
  <c r="C9" i="11"/>
  <c r="O7" i="19"/>
  <c r="E10" i="15"/>
  <c r="E11"/>
  <c r="E24" i="4"/>
  <c r="E25"/>
  <c r="E23"/>
  <c r="E22"/>
  <c r="E21"/>
  <c r="E20"/>
  <c r="E19"/>
  <c r="E18"/>
  <c r="E17"/>
  <c r="E16"/>
  <c r="E15"/>
  <c r="E14"/>
  <c r="E13"/>
  <c r="E12"/>
  <c r="E11"/>
  <c r="E10"/>
  <c r="N8" i="11"/>
  <c r="O7"/>
  <c r="J12" i="13"/>
  <c r="I12"/>
  <c r="J13"/>
  <c r="J14"/>
  <c r="J15"/>
  <c r="K15"/>
  <c r="J16"/>
  <c r="G16"/>
  <c r="J17"/>
  <c r="J18"/>
  <c r="L18"/>
  <c r="M18"/>
  <c r="J11"/>
  <c r="G11"/>
  <c r="R11" i="22"/>
  <c r="O11"/>
  <c r="R12"/>
  <c r="M12"/>
  <c r="R13"/>
  <c r="S13"/>
  <c r="R14"/>
  <c r="Q14"/>
  <c r="R15"/>
  <c r="O15"/>
  <c r="R16"/>
  <c r="M16"/>
  <c r="R17"/>
  <c r="R18"/>
  <c r="Q18"/>
  <c r="R19"/>
  <c r="O19"/>
  <c r="R20"/>
  <c r="M20"/>
  <c r="R21"/>
  <c r="R22"/>
  <c r="Q22"/>
  <c r="R23"/>
  <c r="O23"/>
  <c r="R24"/>
  <c r="M24"/>
  <c r="R25"/>
  <c r="R10"/>
  <c r="V11"/>
  <c r="W11"/>
  <c r="V12"/>
  <c r="W12"/>
  <c r="V13"/>
  <c r="W13"/>
  <c r="V14"/>
  <c r="W14"/>
  <c r="V15"/>
  <c r="W15"/>
  <c r="V16"/>
  <c r="W16"/>
  <c r="V17"/>
  <c r="W17"/>
  <c r="V18"/>
  <c r="W18"/>
  <c r="V19"/>
  <c r="W19"/>
  <c r="V20"/>
  <c r="W20"/>
  <c r="V21"/>
  <c r="W21"/>
  <c r="V22"/>
  <c r="V23"/>
  <c r="W23"/>
  <c r="V24"/>
  <c r="W24"/>
  <c r="V25"/>
  <c r="W25"/>
  <c r="V10"/>
  <c r="T11"/>
  <c r="T12"/>
  <c r="T13"/>
  <c r="U13"/>
  <c r="T14"/>
  <c r="U14"/>
  <c r="T15"/>
  <c r="U15"/>
  <c r="T16"/>
  <c r="U16"/>
  <c r="T17"/>
  <c r="T18"/>
  <c r="U18"/>
  <c r="T19"/>
  <c r="U19"/>
  <c r="T20"/>
  <c r="U20"/>
  <c r="T21"/>
  <c r="T22"/>
  <c r="U22"/>
  <c r="T23"/>
  <c r="U23"/>
  <c r="T24"/>
  <c r="U24"/>
  <c r="T25"/>
  <c r="J6" i="20"/>
  <c r="H6"/>
  <c r="F6"/>
  <c r="D6"/>
  <c r="E6"/>
  <c r="J6" i="17"/>
  <c r="H6"/>
  <c r="F6"/>
  <c r="D6"/>
  <c r="E15"/>
  <c r="P6" i="16"/>
  <c r="L6"/>
  <c r="H6"/>
  <c r="F6"/>
  <c r="D6"/>
  <c r="E12"/>
  <c r="L6" i="15"/>
  <c r="J6"/>
  <c r="F6"/>
  <c r="D6"/>
  <c r="E15"/>
  <c r="F7" i="13"/>
  <c r="D7"/>
  <c r="E18"/>
  <c r="J8" i="11"/>
  <c r="L8"/>
  <c r="N8" i="4"/>
  <c r="M8"/>
  <c r="N7"/>
  <c r="P7"/>
  <c r="W22" i="22"/>
  <c r="U11"/>
  <c r="U12"/>
  <c r="U17"/>
  <c r="U21"/>
  <c r="U25"/>
  <c r="S11"/>
  <c r="S12"/>
  <c r="S14"/>
  <c r="S15"/>
  <c r="S16"/>
  <c r="S17"/>
  <c r="S18"/>
  <c r="S19"/>
  <c r="S20"/>
  <c r="S21"/>
  <c r="S22"/>
  <c r="S24"/>
  <c r="S25"/>
  <c r="Q11"/>
  <c r="Q12"/>
  <c r="Q13"/>
  <c r="Q15"/>
  <c r="Q16"/>
  <c r="Q17"/>
  <c r="Q19"/>
  <c r="Q20"/>
  <c r="Q21"/>
  <c r="Q24"/>
  <c r="Q25"/>
  <c r="O12"/>
  <c r="O16"/>
  <c r="O17"/>
  <c r="O20"/>
  <c r="O21"/>
  <c r="O24"/>
  <c r="O25"/>
  <c r="M13"/>
  <c r="M17"/>
  <c r="M21"/>
  <c r="M25"/>
  <c r="K11"/>
  <c r="K12"/>
  <c r="K13"/>
  <c r="K14"/>
  <c r="K15"/>
  <c r="K16"/>
  <c r="K17"/>
  <c r="K18"/>
  <c r="K19"/>
  <c r="K20"/>
  <c r="K21"/>
  <c r="K22"/>
  <c r="K24"/>
  <c r="K25"/>
  <c r="I11"/>
  <c r="I12"/>
  <c r="I15"/>
  <c r="I16"/>
  <c r="I17"/>
  <c r="I19"/>
  <c r="I20"/>
  <c r="I21"/>
  <c r="I23"/>
  <c r="I24"/>
  <c r="I25"/>
  <c r="G12"/>
  <c r="G13"/>
  <c r="G16"/>
  <c r="G17"/>
  <c r="G20"/>
  <c r="G21"/>
  <c r="G24"/>
  <c r="G25"/>
  <c r="E11"/>
  <c r="E12"/>
  <c r="E13"/>
  <c r="E14"/>
  <c r="E15"/>
  <c r="E16"/>
  <c r="E17"/>
  <c r="E18"/>
  <c r="E19"/>
  <c r="E20"/>
  <c r="E21"/>
  <c r="E22"/>
  <c r="E23"/>
  <c r="E24"/>
  <c r="E25"/>
  <c r="C6"/>
  <c r="F6"/>
  <c r="H6"/>
  <c r="L6"/>
  <c r="N6"/>
  <c r="P6"/>
  <c r="R26"/>
  <c r="S26"/>
  <c r="K10"/>
  <c r="B9"/>
  <c r="V8"/>
  <c r="W8"/>
  <c r="R8"/>
  <c r="S8"/>
  <c r="E8"/>
  <c r="W7"/>
  <c r="U7"/>
  <c r="R7"/>
  <c r="S7"/>
  <c r="E7"/>
  <c r="B6"/>
  <c r="J26" i="19"/>
  <c r="G26"/>
  <c r="J25"/>
  <c r="G25"/>
  <c r="J24"/>
  <c r="G24"/>
  <c r="J23"/>
  <c r="G23"/>
  <c r="J22"/>
  <c r="G22"/>
  <c r="J21"/>
  <c r="G21"/>
  <c r="J20"/>
  <c r="G20"/>
  <c r="J19"/>
  <c r="G19"/>
  <c r="J18"/>
  <c r="G18"/>
  <c r="J17"/>
  <c r="G17"/>
  <c r="J16"/>
  <c r="G16"/>
  <c r="J15"/>
  <c r="G15"/>
  <c r="J14"/>
  <c r="G14"/>
  <c r="J13"/>
  <c r="G13"/>
  <c r="J12"/>
  <c r="K12"/>
  <c r="J11"/>
  <c r="G11"/>
  <c r="K26"/>
  <c r="K25"/>
  <c r="I21"/>
  <c r="J10"/>
  <c r="G10"/>
  <c r="J8"/>
  <c r="I8"/>
  <c r="J7"/>
  <c r="K7"/>
  <c r="N8"/>
  <c r="E8"/>
  <c r="P8" i="20"/>
  <c r="Q8"/>
  <c r="L8"/>
  <c r="M8"/>
  <c r="E8"/>
  <c r="L26"/>
  <c r="M26"/>
  <c r="L25"/>
  <c r="L24"/>
  <c r="L23"/>
  <c r="I23"/>
  <c r="L22"/>
  <c r="K22"/>
  <c r="L21"/>
  <c r="L20"/>
  <c r="N20"/>
  <c r="O20"/>
  <c r="L19"/>
  <c r="L18"/>
  <c r="K18"/>
  <c r="L17"/>
  <c r="L16"/>
  <c r="L15"/>
  <c r="L14"/>
  <c r="K14"/>
  <c r="L13"/>
  <c r="L12"/>
  <c r="L11"/>
  <c r="L10"/>
  <c r="K10"/>
  <c r="L7"/>
  <c r="P8" i="17"/>
  <c r="Q8"/>
  <c r="L8"/>
  <c r="M8"/>
  <c r="E8"/>
  <c r="L7"/>
  <c r="L15"/>
  <c r="L14"/>
  <c r="G14"/>
  <c r="L13"/>
  <c r="L12"/>
  <c r="L11"/>
  <c r="G11"/>
  <c r="L10"/>
  <c r="R12" i="16"/>
  <c r="Q12"/>
  <c r="R11"/>
  <c r="O11"/>
  <c r="R10"/>
  <c r="R8"/>
  <c r="O8"/>
  <c r="R7"/>
  <c r="M7"/>
  <c r="V8"/>
  <c r="W8"/>
  <c r="T8"/>
  <c r="U8"/>
  <c r="E8"/>
  <c r="T8" i="15"/>
  <c r="P8"/>
  <c r="Q8"/>
  <c r="E8"/>
  <c r="P8" i="14"/>
  <c r="Q8"/>
  <c r="L8"/>
  <c r="M8"/>
  <c r="E8"/>
  <c r="L7"/>
  <c r="K7"/>
  <c r="L14"/>
  <c r="G14"/>
  <c r="L13"/>
  <c r="G13"/>
  <c r="L12"/>
  <c r="G12"/>
  <c r="L11"/>
  <c r="N11"/>
  <c r="O11"/>
  <c r="L10"/>
  <c r="M10"/>
  <c r="N9" i="13"/>
  <c r="O9"/>
  <c r="J9"/>
  <c r="L9"/>
  <c r="M9"/>
  <c r="E9"/>
  <c r="J8"/>
  <c r="I8"/>
  <c r="K8" i="11"/>
  <c r="I8"/>
  <c r="G8"/>
  <c r="E8"/>
  <c r="J7"/>
  <c r="J26"/>
  <c r="L26"/>
  <c r="M26"/>
  <c r="J25"/>
  <c r="I25"/>
  <c r="J24"/>
  <c r="G24"/>
  <c r="J23"/>
  <c r="J22"/>
  <c r="G22"/>
  <c r="J21"/>
  <c r="L21"/>
  <c r="M21"/>
  <c r="J20"/>
  <c r="J19"/>
  <c r="J18"/>
  <c r="G18"/>
  <c r="J17"/>
  <c r="G17"/>
  <c r="J16"/>
  <c r="J15"/>
  <c r="J14"/>
  <c r="L14"/>
  <c r="M14"/>
  <c r="J13"/>
  <c r="G13"/>
  <c r="J12"/>
  <c r="J11"/>
  <c r="I11"/>
  <c r="J10"/>
  <c r="N26" i="4"/>
  <c r="G26"/>
  <c r="N25"/>
  <c r="G25"/>
  <c r="N24"/>
  <c r="O24"/>
  <c r="N23"/>
  <c r="O23"/>
  <c r="N22"/>
  <c r="O22"/>
  <c r="N21"/>
  <c r="O21"/>
  <c r="N20"/>
  <c r="O20"/>
  <c r="N19"/>
  <c r="O19"/>
  <c r="N18"/>
  <c r="M18"/>
  <c r="N17"/>
  <c r="O17"/>
  <c r="N16"/>
  <c r="O16"/>
  <c r="N15"/>
  <c r="O15"/>
  <c r="N14"/>
  <c r="O14"/>
  <c r="N13"/>
  <c r="G13"/>
  <c r="N12"/>
  <c r="O12"/>
  <c r="N11"/>
  <c r="O11"/>
  <c r="P25"/>
  <c r="Q25"/>
  <c r="N10"/>
  <c r="N9"/>
  <c r="N11" i="20"/>
  <c r="O11"/>
  <c r="P10" i="15"/>
  <c r="B10" i="13"/>
  <c r="B7"/>
  <c r="B9" i="17"/>
  <c r="B6"/>
  <c r="B9" i="16"/>
  <c r="B9" i="15"/>
  <c r="B9" i="14"/>
  <c r="B6"/>
  <c r="P25" i="20"/>
  <c r="Q25"/>
  <c r="M25"/>
  <c r="E25"/>
  <c r="P24"/>
  <c r="Q24"/>
  <c r="K24"/>
  <c r="E24"/>
  <c r="P23"/>
  <c r="Q23"/>
  <c r="M23"/>
  <c r="E23"/>
  <c r="P22"/>
  <c r="Q22"/>
  <c r="E22"/>
  <c r="P21"/>
  <c r="Q21"/>
  <c r="M21"/>
  <c r="E21"/>
  <c r="P20"/>
  <c r="Q20"/>
  <c r="K20"/>
  <c r="E20"/>
  <c r="P19"/>
  <c r="Q19"/>
  <c r="M19"/>
  <c r="E19"/>
  <c r="P18"/>
  <c r="Q18"/>
  <c r="E18"/>
  <c r="P17"/>
  <c r="Q17"/>
  <c r="M17"/>
  <c r="E17"/>
  <c r="P16"/>
  <c r="Q16"/>
  <c r="K16"/>
  <c r="E16"/>
  <c r="P15"/>
  <c r="Q15"/>
  <c r="M15"/>
  <c r="E15"/>
  <c r="P14"/>
  <c r="Q14"/>
  <c r="E14"/>
  <c r="P13"/>
  <c r="Q13"/>
  <c r="K13"/>
  <c r="E13"/>
  <c r="P12"/>
  <c r="Q12"/>
  <c r="I12"/>
  <c r="E12"/>
  <c r="P11"/>
  <c r="Q11"/>
  <c r="I11"/>
  <c r="G11"/>
  <c r="E11"/>
  <c r="P10"/>
  <c r="Q10"/>
  <c r="E10"/>
  <c r="C6"/>
  <c r="N25" i="19"/>
  <c r="O25"/>
  <c r="E25"/>
  <c r="N24"/>
  <c r="O24"/>
  <c r="E24"/>
  <c r="N23"/>
  <c r="O23"/>
  <c r="E23"/>
  <c r="N22"/>
  <c r="O22"/>
  <c r="E22"/>
  <c r="N21"/>
  <c r="O21"/>
  <c r="E21"/>
  <c r="N20"/>
  <c r="O20"/>
  <c r="E20"/>
  <c r="N19"/>
  <c r="O19"/>
  <c r="E19"/>
  <c r="N18"/>
  <c r="O18"/>
  <c r="E18"/>
  <c r="N17"/>
  <c r="O17"/>
  <c r="E17"/>
  <c r="N16"/>
  <c r="O16"/>
  <c r="E16"/>
  <c r="N15"/>
  <c r="O15"/>
  <c r="E15"/>
  <c r="N14"/>
  <c r="O14"/>
  <c r="E14"/>
  <c r="N13"/>
  <c r="O13"/>
  <c r="E13"/>
  <c r="N12"/>
  <c r="E12"/>
  <c r="N11"/>
  <c r="O11"/>
  <c r="E11"/>
  <c r="N10"/>
  <c r="E10"/>
  <c r="N15" i="17"/>
  <c r="O15"/>
  <c r="P14"/>
  <c r="Q14"/>
  <c r="E14"/>
  <c r="P13"/>
  <c r="Q13"/>
  <c r="N13"/>
  <c r="O13"/>
  <c r="E13"/>
  <c r="P12"/>
  <c r="Q12"/>
  <c r="K12"/>
  <c r="E12"/>
  <c r="P11"/>
  <c r="Q11"/>
  <c r="E11"/>
  <c r="P10"/>
  <c r="Q10"/>
  <c r="G10"/>
  <c r="E10"/>
  <c r="C6"/>
  <c r="E6"/>
  <c r="V11" i="16"/>
  <c r="W11"/>
  <c r="E11"/>
  <c r="V10"/>
  <c r="E10"/>
  <c r="E9"/>
  <c r="P15" i="15"/>
  <c r="O15"/>
  <c r="T14"/>
  <c r="U14"/>
  <c r="P14"/>
  <c r="O14"/>
  <c r="E14"/>
  <c r="T13"/>
  <c r="U13"/>
  <c r="P13"/>
  <c r="O13"/>
  <c r="E13"/>
  <c r="T12"/>
  <c r="U12"/>
  <c r="P12"/>
  <c r="O12"/>
  <c r="E12"/>
  <c r="T11"/>
  <c r="U11"/>
  <c r="P11"/>
  <c r="O11"/>
  <c r="T10"/>
  <c r="C6"/>
  <c r="P13" i="14"/>
  <c r="Q13"/>
  <c r="E13"/>
  <c r="P12"/>
  <c r="Q12"/>
  <c r="E12"/>
  <c r="P11"/>
  <c r="Q11"/>
  <c r="E11"/>
  <c r="P10"/>
  <c r="E10"/>
  <c r="C6"/>
  <c r="D6"/>
  <c r="E14"/>
  <c r="J6"/>
  <c r="H6"/>
  <c r="F6"/>
  <c r="K18" i="13"/>
  <c r="N17"/>
  <c r="O17"/>
  <c r="K17"/>
  <c r="G17"/>
  <c r="E17"/>
  <c r="N16"/>
  <c r="O16"/>
  <c r="E16"/>
  <c r="N15"/>
  <c r="O15"/>
  <c r="E15"/>
  <c r="N14"/>
  <c r="O14"/>
  <c r="K14"/>
  <c r="G14"/>
  <c r="E14"/>
  <c r="N13"/>
  <c r="O13"/>
  <c r="E13"/>
  <c r="N12"/>
  <c r="O12"/>
  <c r="E12"/>
  <c r="N11"/>
  <c r="E11"/>
  <c r="C7"/>
  <c r="N25" i="11"/>
  <c r="O25"/>
  <c r="E25"/>
  <c r="N24"/>
  <c r="O24"/>
  <c r="E24"/>
  <c r="N23"/>
  <c r="O23"/>
  <c r="G23"/>
  <c r="E23"/>
  <c r="N22"/>
  <c r="O22"/>
  <c r="E22"/>
  <c r="N21"/>
  <c r="O21"/>
  <c r="E21"/>
  <c r="N20"/>
  <c r="O20"/>
  <c r="L20"/>
  <c r="M20"/>
  <c r="E20"/>
  <c r="N19"/>
  <c r="O19"/>
  <c r="G19"/>
  <c r="E19"/>
  <c r="N18"/>
  <c r="O18"/>
  <c r="E18"/>
  <c r="N17"/>
  <c r="O17"/>
  <c r="E17"/>
  <c r="N16"/>
  <c r="O16"/>
  <c r="G16"/>
  <c r="E16"/>
  <c r="N15"/>
  <c r="O15"/>
  <c r="G15"/>
  <c r="E15"/>
  <c r="N14"/>
  <c r="O14"/>
  <c r="G14"/>
  <c r="E14"/>
  <c r="N13"/>
  <c r="O13"/>
  <c r="E13"/>
  <c r="N12"/>
  <c r="O12"/>
  <c r="L12"/>
  <c r="M12"/>
  <c r="E12"/>
  <c r="N11"/>
  <c r="O11"/>
  <c r="E11"/>
  <c r="N10"/>
  <c r="K10"/>
  <c r="I10"/>
  <c r="E10"/>
  <c r="C6"/>
  <c r="R25" i="4"/>
  <c r="S25"/>
  <c r="R24"/>
  <c r="S24"/>
  <c r="R23"/>
  <c r="S23"/>
  <c r="R22"/>
  <c r="S22"/>
  <c r="R15"/>
  <c r="S15"/>
  <c r="R14"/>
  <c r="S14"/>
  <c r="R13"/>
  <c r="S13"/>
  <c r="R21"/>
  <c r="S21"/>
  <c r="R17"/>
  <c r="S17"/>
  <c r="R10"/>
  <c r="R9"/>
  <c r="S10"/>
  <c r="R11"/>
  <c r="S11"/>
  <c r="R12"/>
  <c r="S12"/>
  <c r="R16"/>
  <c r="S16"/>
  <c r="R18"/>
  <c r="S18"/>
  <c r="R19"/>
  <c r="S19"/>
  <c r="R20"/>
  <c r="S20"/>
  <c r="P22"/>
  <c r="Q22"/>
  <c r="P16"/>
  <c r="Q16"/>
  <c r="P19"/>
  <c r="Q19"/>
  <c r="J6"/>
  <c r="F6"/>
  <c r="C9"/>
  <c r="E9"/>
  <c r="C6"/>
  <c r="O7" i="20"/>
  <c r="Q7"/>
  <c r="E7"/>
  <c r="I7"/>
  <c r="M7"/>
  <c r="B6"/>
  <c r="E7" i="19"/>
  <c r="B9"/>
  <c r="B6"/>
  <c r="I7" i="17"/>
  <c r="Q7"/>
  <c r="E7"/>
  <c r="B6" i="16"/>
  <c r="T7"/>
  <c r="U7"/>
  <c r="W7"/>
  <c r="E7"/>
  <c r="B6" i="15"/>
  <c r="P7"/>
  <c r="U7"/>
  <c r="E7"/>
  <c r="Q7" i="14"/>
  <c r="E7"/>
  <c r="E8" i="13"/>
  <c r="E7" i="11"/>
  <c r="B9"/>
  <c r="B6"/>
  <c r="B9" i="4"/>
  <c r="B6"/>
  <c r="C1" i="10"/>
  <c r="C4"/>
  <c r="C6"/>
  <c r="C10"/>
  <c r="C11"/>
  <c r="C12"/>
  <c r="C13"/>
  <c r="A15"/>
  <c r="A16"/>
  <c r="A23"/>
  <c r="A26"/>
  <c r="A27"/>
  <c r="C27"/>
  <c r="A28"/>
  <c r="A29"/>
  <c r="C29"/>
  <c r="A30"/>
  <c r="A31"/>
  <c r="A32"/>
  <c r="C32"/>
  <c r="A33"/>
  <c r="C33"/>
  <c r="A34"/>
  <c r="C34"/>
  <c r="A35"/>
  <c r="A36"/>
  <c r="A37"/>
  <c r="A38"/>
  <c r="A39"/>
  <c r="A40"/>
  <c r="C40"/>
  <c r="C1" i="9"/>
  <c r="C4"/>
  <c r="C6"/>
  <c r="C10"/>
  <c r="C11"/>
  <c r="C12"/>
  <c r="C13"/>
  <c r="A15"/>
  <c r="A16"/>
  <c r="A23"/>
  <c r="A26"/>
  <c r="A27"/>
  <c r="C27"/>
  <c r="A28"/>
  <c r="A29"/>
  <c r="C29"/>
  <c r="A30"/>
  <c r="A31"/>
  <c r="A32"/>
  <c r="C32"/>
  <c r="A33"/>
  <c r="C33"/>
  <c r="A34"/>
  <c r="C34"/>
  <c r="A35"/>
  <c r="A36"/>
  <c r="A37"/>
  <c r="A38"/>
  <c r="A39"/>
  <c r="A40"/>
  <c r="C40"/>
  <c r="C1" i="8"/>
  <c r="C4"/>
  <c r="C6"/>
  <c r="C10"/>
  <c r="C11"/>
  <c r="C12"/>
  <c r="C13"/>
  <c r="A15"/>
  <c r="A16"/>
  <c r="A23"/>
  <c r="A26"/>
  <c r="A27"/>
  <c r="C27"/>
  <c r="A28"/>
  <c r="A29"/>
  <c r="C29"/>
  <c r="A30"/>
  <c r="A31"/>
  <c r="A32"/>
  <c r="C32"/>
  <c r="A33"/>
  <c r="C33"/>
  <c r="A34"/>
  <c r="C34"/>
  <c r="A35"/>
  <c r="A36"/>
  <c r="A37"/>
  <c r="A38"/>
  <c r="A39"/>
  <c r="A40"/>
  <c r="C40"/>
  <c r="C1" i="7"/>
  <c r="C4"/>
  <c r="C6"/>
  <c r="C10"/>
  <c r="C11"/>
  <c r="C12"/>
  <c r="C13"/>
  <c r="A15"/>
  <c r="A16"/>
  <c r="A23"/>
  <c r="A26"/>
  <c r="A27"/>
  <c r="C27"/>
  <c r="A28"/>
  <c r="A29"/>
  <c r="C29"/>
  <c r="A30"/>
  <c r="A31"/>
  <c r="A32"/>
  <c r="C32"/>
  <c r="A33"/>
  <c r="C33"/>
  <c r="A34"/>
  <c r="C34"/>
  <c r="A35"/>
  <c r="A36"/>
  <c r="A37"/>
  <c r="A38"/>
  <c r="A39"/>
  <c r="A40"/>
  <c r="C40"/>
  <c r="C1" i="6"/>
  <c r="C4"/>
  <c r="C6"/>
  <c r="C10"/>
  <c r="C11"/>
  <c r="C12"/>
  <c r="C13"/>
  <c r="A15"/>
  <c r="A16"/>
  <c r="A23"/>
  <c r="A26"/>
  <c r="A27"/>
  <c r="C27"/>
  <c r="A28"/>
  <c r="A29"/>
  <c r="C29"/>
  <c r="A30"/>
  <c r="A31"/>
  <c r="A32"/>
  <c r="C32"/>
  <c r="A33"/>
  <c r="C33"/>
  <c r="A34"/>
  <c r="C34"/>
  <c r="A35"/>
  <c r="A36"/>
  <c r="A37"/>
  <c r="A38"/>
  <c r="A39"/>
  <c r="A40"/>
  <c r="C40"/>
  <c r="C1" i="5"/>
  <c r="C4"/>
  <c r="C6"/>
  <c r="C10"/>
  <c r="C11"/>
  <c r="C12"/>
  <c r="C13"/>
  <c r="A15"/>
  <c r="A16"/>
  <c r="A23"/>
  <c r="A26"/>
  <c r="A27"/>
  <c r="C27"/>
  <c r="A28"/>
  <c r="A29"/>
  <c r="C29"/>
  <c r="A30"/>
  <c r="A31"/>
  <c r="A32"/>
  <c r="C32"/>
  <c r="A33"/>
  <c r="C33"/>
  <c r="A34"/>
  <c r="C34"/>
  <c r="A35"/>
  <c r="A36"/>
  <c r="A37"/>
  <c r="A38"/>
  <c r="A39"/>
  <c r="A40"/>
  <c r="C40"/>
  <c r="K7" i="20"/>
  <c r="G7"/>
  <c r="K7" i="15"/>
  <c r="K13" i="17"/>
  <c r="K11" i="20"/>
  <c r="L15" i="11"/>
  <c r="M15"/>
  <c r="L17"/>
  <c r="M17"/>
  <c r="L19"/>
  <c r="M19"/>
  <c r="L22"/>
  <c r="M22"/>
  <c r="L25"/>
  <c r="M25"/>
  <c r="L14" i="13"/>
  <c r="M14"/>
  <c r="L17"/>
  <c r="M17"/>
  <c r="M11" i="15"/>
  <c r="R11"/>
  <c r="S11"/>
  <c r="M12"/>
  <c r="R12"/>
  <c r="S12"/>
  <c r="M13"/>
  <c r="M14"/>
  <c r="R14"/>
  <c r="S14"/>
  <c r="M15"/>
  <c r="I13" i="17"/>
  <c r="M13"/>
  <c r="I12" i="11"/>
  <c r="I15"/>
  <c r="I16"/>
  <c r="I17"/>
  <c r="I20"/>
  <c r="I14" i="13"/>
  <c r="I17"/>
  <c r="I18"/>
  <c r="I11" i="15"/>
  <c r="I14"/>
  <c r="C8" i="10"/>
  <c r="A41"/>
  <c r="A21" i="9"/>
  <c r="C39"/>
  <c r="C8" i="6"/>
  <c r="C19" i="10"/>
  <c r="C35"/>
  <c r="A25" i="9"/>
  <c r="A17" i="8"/>
  <c r="C36"/>
  <c r="C18" i="7"/>
  <c r="C19" i="6"/>
  <c r="C35"/>
  <c r="A25" i="5"/>
  <c r="C8" i="8"/>
  <c r="A41"/>
  <c r="A21" i="7"/>
  <c r="C39"/>
  <c r="A17" i="5"/>
  <c r="C41" i="10"/>
  <c r="C23" i="9"/>
  <c r="A24" i="8"/>
  <c r="C41" i="6"/>
  <c r="C23" i="5"/>
  <c r="C9"/>
  <c r="A25" i="10"/>
  <c r="A17" i="9"/>
  <c r="C36"/>
  <c r="C18" i="8"/>
  <c r="C19" i="7"/>
  <c r="C35"/>
  <c r="C7" i="10"/>
  <c r="C31"/>
  <c r="C22" i="9"/>
  <c r="C9" i="8"/>
  <c r="C30"/>
  <c r="C14" i="7"/>
  <c r="C7" i="6"/>
  <c r="C31"/>
  <c r="C22" i="5"/>
  <c r="C18" i="10"/>
  <c r="C19" i="9"/>
  <c r="C35"/>
  <c r="A25" i="8"/>
  <c r="A17" i="7"/>
  <c r="C36"/>
  <c r="C18" i="6"/>
  <c r="C19" i="5"/>
  <c r="C35"/>
  <c r="C39"/>
  <c r="A21" i="10"/>
  <c r="C39"/>
  <c r="C8" i="7"/>
  <c r="A41"/>
  <c r="A21" i="6"/>
  <c r="C39"/>
  <c r="C41" i="5"/>
  <c r="C22" i="10"/>
  <c r="C9" i="9"/>
  <c r="C30"/>
  <c r="C14" i="8"/>
  <c r="C7" i="7"/>
  <c r="C31"/>
  <c r="C22" i="6"/>
  <c r="A24" i="10"/>
  <c r="C41" i="8"/>
  <c r="C23" i="7"/>
  <c r="A24" i="6"/>
  <c r="C14" i="10"/>
  <c r="C7" i="9"/>
  <c r="C31"/>
  <c r="C22" i="8"/>
  <c r="C9" i="7"/>
  <c r="C30"/>
  <c r="C14" i="6"/>
  <c r="C7" i="5"/>
  <c r="C31"/>
  <c r="C36"/>
  <c r="A17" i="10"/>
  <c r="C36"/>
  <c r="C18" i="9"/>
  <c r="C19" i="8"/>
  <c r="C35"/>
  <c r="A25" i="7"/>
  <c r="A17" i="6"/>
  <c r="C36"/>
  <c r="C18" i="5"/>
  <c r="A41" i="6"/>
  <c r="C30" i="5"/>
  <c r="A24" i="7"/>
  <c r="A41" i="9"/>
  <c r="A24"/>
  <c r="C41" i="7"/>
  <c r="C9" i="10"/>
  <c r="C31" i="8"/>
  <c r="C14" i="5"/>
  <c r="C22" i="7"/>
  <c r="C23" i="8"/>
  <c r="C8" i="9"/>
  <c r="C23" i="10"/>
  <c r="C7" i="8"/>
  <c r="C30" i="6"/>
  <c r="C8" i="5"/>
  <c r="C23" i="6"/>
  <c r="A25"/>
  <c r="C41" i="9"/>
  <c r="C39" i="8"/>
  <c r="A41" i="5"/>
  <c r="A24"/>
  <c r="C14" i="9"/>
  <c r="C9" i="6"/>
  <c r="A21" i="5"/>
  <c r="A21" i="8"/>
  <c r="C30" i="10"/>
  <c r="E26" i="19"/>
  <c r="I23"/>
  <c r="I15"/>
  <c r="I19"/>
  <c r="I11"/>
  <c r="K8" i="20"/>
  <c r="I8"/>
  <c r="K26"/>
  <c r="M14"/>
  <c r="M16"/>
  <c r="M18"/>
  <c r="M20"/>
  <c r="M22"/>
  <c r="M24"/>
  <c r="I26"/>
  <c r="M11"/>
  <c r="I14"/>
  <c r="I16"/>
  <c r="I18"/>
  <c r="I20"/>
  <c r="I22"/>
  <c r="I24"/>
  <c r="G26"/>
  <c r="N13"/>
  <c r="O13"/>
  <c r="G14"/>
  <c r="N14"/>
  <c r="O14"/>
  <c r="G16"/>
  <c r="N16"/>
  <c r="O16"/>
  <c r="G18"/>
  <c r="G20"/>
  <c r="G22"/>
  <c r="N22"/>
  <c r="O22"/>
  <c r="G24"/>
  <c r="N24"/>
  <c r="O24"/>
  <c r="N26"/>
  <c r="O26"/>
  <c r="G10"/>
  <c r="K15"/>
  <c r="K17"/>
  <c r="K19"/>
  <c r="K21"/>
  <c r="K23"/>
  <c r="K25"/>
  <c r="I10"/>
  <c r="I13"/>
  <c r="M13"/>
  <c r="I15"/>
  <c r="N15"/>
  <c r="O15"/>
  <c r="I17"/>
  <c r="N17"/>
  <c r="O17"/>
  <c r="I19"/>
  <c r="N19"/>
  <c r="O19"/>
  <c r="I21"/>
  <c r="N21"/>
  <c r="O21"/>
  <c r="N23"/>
  <c r="O23"/>
  <c r="I25"/>
  <c r="N25"/>
  <c r="O25"/>
  <c r="G13"/>
  <c r="G15"/>
  <c r="G17"/>
  <c r="G19"/>
  <c r="G21"/>
  <c r="G25"/>
  <c r="K8" i="17"/>
  <c r="I8"/>
  <c r="K11"/>
  <c r="G7"/>
  <c r="K7"/>
  <c r="I12"/>
  <c r="M15"/>
  <c r="G13"/>
  <c r="G15"/>
  <c r="I11"/>
  <c r="G12"/>
  <c r="I15"/>
  <c r="M11"/>
  <c r="K15"/>
  <c r="I14"/>
  <c r="M14"/>
  <c r="M12"/>
  <c r="M10"/>
  <c r="K14"/>
  <c r="K10"/>
  <c r="N12"/>
  <c r="O12"/>
  <c r="N14"/>
  <c r="O14"/>
  <c r="O12" i="16"/>
  <c r="S11"/>
  <c r="O10"/>
  <c r="Q7"/>
  <c r="G7"/>
  <c r="M8"/>
  <c r="S12"/>
  <c r="I10"/>
  <c r="M12"/>
  <c r="K10"/>
  <c r="S10"/>
  <c r="G10"/>
  <c r="Q10"/>
  <c r="I12"/>
  <c r="Q11"/>
  <c r="K12"/>
  <c r="T12"/>
  <c r="U12"/>
  <c r="M10"/>
  <c r="T11"/>
  <c r="U11"/>
  <c r="G12"/>
  <c r="I11"/>
  <c r="G8" i="15"/>
  <c r="O8"/>
  <c r="M8"/>
  <c r="I15"/>
  <c r="R15"/>
  <c r="S15"/>
  <c r="K11"/>
  <c r="K10"/>
  <c r="G11"/>
  <c r="K14"/>
  <c r="G14"/>
  <c r="I10"/>
  <c r="R13"/>
  <c r="S13"/>
  <c r="Q10"/>
  <c r="K13"/>
  <c r="R10"/>
  <c r="I13"/>
  <c r="O10"/>
  <c r="G13"/>
  <c r="Q14"/>
  <c r="G15"/>
  <c r="K12"/>
  <c r="Q13"/>
  <c r="K15"/>
  <c r="I12"/>
  <c r="Q12"/>
  <c r="Q15"/>
  <c r="N14" i="14"/>
  <c r="O14"/>
  <c r="I14"/>
  <c r="M14"/>
  <c r="K9" i="13"/>
  <c r="I9"/>
  <c r="G9"/>
  <c r="I11"/>
  <c r="M8"/>
  <c r="K8"/>
  <c r="L15"/>
  <c r="M15"/>
  <c r="L13"/>
  <c r="M13"/>
  <c r="G15"/>
  <c r="K13"/>
  <c r="I13"/>
  <c r="G13"/>
  <c r="K12"/>
  <c r="I21" i="11"/>
  <c r="L13"/>
  <c r="M13"/>
  <c r="G21"/>
  <c r="I22"/>
  <c r="I13"/>
  <c r="G10"/>
  <c r="I23"/>
  <c r="I19"/>
  <c r="I14"/>
  <c r="I24"/>
  <c r="L18"/>
  <c r="M18"/>
  <c r="G25"/>
  <c r="L23"/>
  <c r="M23"/>
  <c r="I18"/>
  <c r="O10"/>
  <c r="L24"/>
  <c r="M24"/>
  <c r="L16"/>
  <c r="M16"/>
  <c r="G12"/>
  <c r="G20"/>
  <c r="P15" i="4"/>
  <c r="Q15"/>
  <c r="P23"/>
  <c r="Q23"/>
  <c r="P21"/>
  <c r="Q21"/>
  <c r="P18"/>
  <c r="Q18"/>
  <c r="O8" i="13"/>
  <c r="Q7" i="15"/>
  <c r="G7"/>
  <c r="R7"/>
  <c r="S7"/>
  <c r="M7"/>
  <c r="O7"/>
  <c r="I7"/>
  <c r="P12" i="4"/>
  <c r="Q12"/>
  <c r="N10" i="20"/>
  <c r="K23" i="19"/>
  <c r="K19"/>
  <c r="K15"/>
  <c r="K13"/>
  <c r="K11"/>
  <c r="I12"/>
  <c r="P10" i="4"/>
  <c r="P9"/>
  <c r="Q9"/>
  <c r="Q10"/>
  <c r="L11" i="19"/>
  <c r="M11"/>
  <c r="L13"/>
  <c r="M13"/>
  <c r="L15"/>
  <c r="M15"/>
  <c r="L19"/>
  <c r="M19"/>
  <c r="L23"/>
  <c r="M23"/>
  <c r="L25"/>
  <c r="M25"/>
  <c r="M10" i="20"/>
  <c r="G12"/>
  <c r="K12"/>
  <c r="N12"/>
  <c r="O12"/>
  <c r="I17" i="19"/>
  <c r="I13"/>
  <c r="G8" i="13"/>
  <c r="P14" i="4"/>
  <c r="Q14"/>
  <c r="K12" i="11"/>
  <c r="K13"/>
  <c r="K14"/>
  <c r="K15"/>
  <c r="K16"/>
  <c r="K17"/>
  <c r="K18"/>
  <c r="K19"/>
  <c r="K20"/>
  <c r="K21"/>
  <c r="K22"/>
  <c r="K23"/>
  <c r="K24"/>
  <c r="K25"/>
  <c r="K10" i="19"/>
  <c r="M12" i="20"/>
  <c r="I7" i="16"/>
  <c r="M7" i="17"/>
  <c r="O10" i="20"/>
  <c r="O12" i="19"/>
  <c r="E9" i="17"/>
  <c r="C6" i="16"/>
  <c r="W10"/>
  <c r="U10" i="15"/>
  <c r="Q10" i="14"/>
  <c r="E10" i="13"/>
  <c r="I7" i="11"/>
  <c r="K7"/>
  <c r="G7"/>
  <c r="M7"/>
  <c r="O8"/>
  <c r="L16" i="13"/>
  <c r="M16"/>
  <c r="K16"/>
  <c r="G12"/>
  <c r="L12"/>
  <c r="M12"/>
  <c r="I16"/>
  <c r="L11"/>
  <c r="K11"/>
  <c r="M22" i="22"/>
  <c r="M18"/>
  <c r="M14"/>
  <c r="G22"/>
  <c r="G18"/>
  <c r="G14"/>
  <c r="M19"/>
  <c r="M15"/>
  <c r="M11"/>
  <c r="O22"/>
  <c r="O18"/>
  <c r="O14"/>
  <c r="G23"/>
  <c r="G19"/>
  <c r="G15"/>
  <c r="G11"/>
  <c r="I22"/>
  <c r="I18"/>
  <c r="I14"/>
  <c r="G10"/>
  <c r="Q10"/>
  <c r="T10"/>
  <c r="I10"/>
  <c r="M26"/>
  <c r="G7"/>
  <c r="O7"/>
  <c r="M8"/>
  <c r="K26"/>
  <c r="I8"/>
  <c r="Q8"/>
  <c r="M10"/>
  <c r="I26"/>
  <c r="Q26"/>
  <c r="G8"/>
  <c r="O8"/>
  <c r="G26"/>
  <c r="O26"/>
  <c r="K22" i="19"/>
  <c r="L18"/>
  <c r="M18"/>
  <c r="I22"/>
  <c r="I18"/>
  <c r="K14"/>
  <c r="I25"/>
  <c r="L26"/>
  <c r="M26"/>
  <c r="L21"/>
  <c r="M21"/>
  <c r="L14"/>
  <c r="M14"/>
  <c r="L22"/>
  <c r="M22"/>
  <c r="L17"/>
  <c r="M17"/>
  <c r="M7"/>
  <c r="K16"/>
  <c r="K24"/>
  <c r="L24"/>
  <c r="M24"/>
  <c r="L16"/>
  <c r="M16"/>
  <c r="L12"/>
  <c r="M12"/>
  <c r="I20"/>
  <c r="L8"/>
  <c r="M8"/>
  <c r="K20"/>
  <c r="L20"/>
  <c r="M20"/>
  <c r="I16"/>
  <c r="I7"/>
  <c r="I24"/>
  <c r="M11" i="13"/>
  <c r="S10" i="22"/>
  <c r="E10"/>
  <c r="E9"/>
  <c r="W10"/>
  <c r="D6"/>
  <c r="E26"/>
  <c r="U10"/>
  <c r="C5" i="10"/>
  <c r="C28" i="7"/>
  <c r="C21" i="9"/>
  <c r="C28" i="8"/>
  <c r="C28" i="6"/>
  <c r="C20" i="10"/>
  <c r="C5" i="5"/>
  <c r="A22" i="7"/>
  <c r="C5"/>
  <c r="C21" i="8"/>
  <c r="C20" i="9"/>
  <c r="C28" i="5"/>
  <c r="C28" i="9"/>
  <c r="C20" i="8"/>
  <c r="A22" i="5"/>
  <c r="A22" i="9"/>
  <c r="C20" i="6"/>
  <c r="C5"/>
  <c r="C20" i="7"/>
  <c r="C21" i="10"/>
  <c r="C5" i="9"/>
  <c r="C28" i="10"/>
  <c r="A22"/>
  <c r="C5" i="8"/>
  <c r="C21" i="6"/>
  <c r="A22"/>
  <c r="C21" i="5"/>
  <c r="C21" i="7"/>
  <c r="A22" i="8"/>
  <c r="C20" i="5"/>
  <c r="O7" i="4"/>
  <c r="E7"/>
  <c r="G7"/>
  <c r="S7"/>
  <c r="E8"/>
  <c r="G8"/>
  <c r="O8"/>
  <c r="P8"/>
  <c r="Q8"/>
  <c r="R8"/>
  <c r="S8"/>
  <c r="I8" i="14"/>
  <c r="N10"/>
  <c r="O10"/>
  <c r="N8"/>
  <c r="O8"/>
  <c r="O8" i="19"/>
  <c r="O7" i="17"/>
  <c r="E6" i="16"/>
  <c r="U8" i="15"/>
  <c r="M13" i="14"/>
  <c r="O7"/>
  <c r="I12"/>
  <c r="E6"/>
  <c r="N13"/>
  <c r="O13"/>
  <c r="G7"/>
  <c r="G10"/>
  <c r="I10"/>
  <c r="M7"/>
  <c r="E9"/>
  <c r="M11"/>
  <c r="K11"/>
  <c r="I11"/>
  <c r="K8"/>
  <c r="G11"/>
  <c r="I7"/>
  <c r="K11" i="11"/>
  <c r="L11"/>
  <c r="G11"/>
  <c r="M11"/>
  <c r="I8" i="4"/>
  <c r="K8"/>
  <c r="K7"/>
  <c r="I7"/>
  <c r="M7"/>
  <c r="G21"/>
  <c r="E6" i="19"/>
  <c r="E7" i="13"/>
  <c r="I21" i="4"/>
  <c r="K21"/>
  <c r="M21"/>
  <c r="K26"/>
  <c r="M26"/>
  <c r="I26"/>
  <c r="K26" i="11"/>
  <c r="G26"/>
  <c r="I26"/>
  <c r="P26" i="4"/>
  <c r="Q26"/>
  <c r="O26"/>
  <c r="J6" i="19"/>
  <c r="G7"/>
  <c r="G8"/>
  <c r="K8"/>
  <c r="I26"/>
  <c r="K21"/>
  <c r="K18"/>
  <c r="K17"/>
  <c r="I14"/>
  <c r="G12"/>
  <c r="L10"/>
  <c r="I10"/>
  <c r="N6"/>
  <c r="O6"/>
  <c r="O9"/>
  <c r="O10"/>
  <c r="I7" i="22"/>
  <c r="M7"/>
  <c r="K7"/>
  <c r="Q7"/>
  <c r="K8"/>
  <c r="T8"/>
  <c r="U8"/>
  <c r="T26"/>
  <c r="U26"/>
  <c r="M23"/>
  <c r="K23"/>
  <c r="Q23"/>
  <c r="S23"/>
  <c r="R9"/>
  <c r="I9"/>
  <c r="V9"/>
  <c r="V6"/>
  <c r="W6"/>
  <c r="T9"/>
  <c r="U9"/>
  <c r="I13"/>
  <c r="O13"/>
  <c r="O10"/>
  <c r="E6"/>
  <c r="G8" i="20"/>
  <c r="N8"/>
  <c r="O8"/>
  <c r="G23"/>
  <c r="N18"/>
  <c r="O18"/>
  <c r="E26"/>
  <c r="G8" i="17"/>
  <c r="N8"/>
  <c r="O8"/>
  <c r="N11"/>
  <c r="O11"/>
  <c r="M9"/>
  <c r="N10"/>
  <c r="L6"/>
  <c r="M6"/>
  <c r="I10"/>
  <c r="S7" i="16"/>
  <c r="O7"/>
  <c r="K7"/>
  <c r="G8"/>
  <c r="I8"/>
  <c r="Q8"/>
  <c r="K8"/>
  <c r="S8"/>
  <c r="K11"/>
  <c r="G11"/>
  <c r="M11"/>
  <c r="R6"/>
  <c r="S6"/>
  <c r="I9"/>
  <c r="T10"/>
  <c r="V6"/>
  <c r="W6"/>
  <c r="W9"/>
  <c r="I8" i="15"/>
  <c r="K8"/>
  <c r="R8"/>
  <c r="S8"/>
  <c r="G12"/>
  <c r="Q11"/>
  <c r="K9"/>
  <c r="E6"/>
  <c r="G10"/>
  <c r="I9"/>
  <c r="S10"/>
  <c r="M10"/>
  <c r="S9"/>
  <c r="G8" i="14"/>
  <c r="K14"/>
  <c r="K13"/>
  <c r="I13"/>
  <c r="M12"/>
  <c r="K12"/>
  <c r="N12"/>
  <c r="O12"/>
  <c r="M9"/>
  <c r="K10"/>
  <c r="G18" i="13"/>
  <c r="L7"/>
  <c r="M7"/>
  <c r="I15"/>
  <c r="O10"/>
  <c r="N7"/>
  <c r="O7"/>
  <c r="O11"/>
  <c r="N9" i="11"/>
  <c r="J9"/>
  <c r="L9"/>
  <c r="K9"/>
  <c r="E9"/>
  <c r="O9"/>
  <c r="L10"/>
  <c r="N6"/>
  <c r="O6"/>
  <c r="E26"/>
  <c r="E6"/>
  <c r="M8"/>
  <c r="I25" i="4"/>
  <c r="M25"/>
  <c r="K25"/>
  <c r="O25"/>
  <c r="P24"/>
  <c r="Q24"/>
  <c r="G24"/>
  <c r="I24"/>
  <c r="K24"/>
  <c r="M24"/>
  <c r="I23"/>
  <c r="M23"/>
  <c r="G23"/>
  <c r="K23"/>
  <c r="G22"/>
  <c r="I22"/>
  <c r="K22"/>
  <c r="M22"/>
  <c r="P20"/>
  <c r="Q20"/>
  <c r="I20"/>
  <c r="M20"/>
  <c r="G20"/>
  <c r="K20"/>
  <c r="G19"/>
  <c r="I19"/>
  <c r="K19"/>
  <c r="M19"/>
  <c r="K18"/>
  <c r="O18"/>
  <c r="G18"/>
  <c r="I18"/>
  <c r="D6"/>
  <c r="E6"/>
  <c r="P17"/>
  <c r="Q17"/>
  <c r="G17"/>
  <c r="I17"/>
  <c r="K17"/>
  <c r="M17"/>
  <c r="I16"/>
  <c r="M16"/>
  <c r="G16"/>
  <c r="K16"/>
  <c r="G15"/>
  <c r="I15"/>
  <c r="K15"/>
  <c r="M15"/>
  <c r="I14"/>
  <c r="M14"/>
  <c r="G14"/>
  <c r="K14"/>
  <c r="P13"/>
  <c r="Q13"/>
  <c r="I13"/>
  <c r="K13"/>
  <c r="M13"/>
  <c r="O13"/>
  <c r="I12"/>
  <c r="M12"/>
  <c r="G12"/>
  <c r="K12"/>
  <c r="P11"/>
  <c r="G11"/>
  <c r="I11"/>
  <c r="K11"/>
  <c r="M11"/>
  <c r="K10"/>
  <c r="O10"/>
  <c r="I10"/>
  <c r="M10"/>
  <c r="K9" i="19"/>
  <c r="G9"/>
  <c r="I9"/>
  <c r="M10"/>
  <c r="W9" i="22"/>
  <c r="S9"/>
  <c r="K9"/>
  <c r="T6"/>
  <c r="U6"/>
  <c r="G9"/>
  <c r="O9"/>
  <c r="R6"/>
  <c r="S6"/>
  <c r="M9"/>
  <c r="Q9"/>
  <c r="L6" i="20"/>
  <c r="M9"/>
  <c r="G9"/>
  <c r="K9"/>
  <c r="I9"/>
  <c r="Q9"/>
  <c r="P6"/>
  <c r="Q6"/>
  <c r="G9" i="17"/>
  <c r="K9"/>
  <c r="I9"/>
  <c r="O10"/>
  <c r="K6"/>
  <c r="G6"/>
  <c r="I6"/>
  <c r="Q9"/>
  <c r="P6"/>
  <c r="Q6"/>
  <c r="Q9" i="16"/>
  <c r="G9"/>
  <c r="M9"/>
  <c r="S9"/>
  <c r="K9"/>
  <c r="O9"/>
  <c r="U10"/>
  <c r="Q6"/>
  <c r="O6"/>
  <c r="K6"/>
  <c r="I6"/>
  <c r="G6"/>
  <c r="M6"/>
  <c r="R6" i="15"/>
  <c r="S6"/>
  <c r="P6"/>
  <c r="M6"/>
  <c r="G9"/>
  <c r="Q9"/>
  <c r="O9"/>
  <c r="M9"/>
  <c r="U9"/>
  <c r="T6"/>
  <c r="U6"/>
  <c r="O6"/>
  <c r="G6"/>
  <c r="K6"/>
  <c r="Q6"/>
  <c r="L6" i="14"/>
  <c r="G9"/>
  <c r="I9"/>
  <c r="K9"/>
  <c r="O9"/>
  <c r="N6"/>
  <c r="O6"/>
  <c r="M10" i="13"/>
  <c r="J7"/>
  <c r="K10"/>
  <c r="G10"/>
  <c r="I10"/>
  <c r="G9" i="11"/>
  <c r="J6"/>
  <c r="K6"/>
  <c r="I9"/>
  <c r="M10"/>
  <c r="E26" i="4"/>
  <c r="Q11"/>
  <c r="I6" i="19"/>
  <c r="K6"/>
  <c r="G6"/>
  <c r="L6"/>
  <c r="M6"/>
  <c r="M9"/>
  <c r="K6" i="22"/>
  <c r="Q6"/>
  <c r="G6"/>
  <c r="O6"/>
  <c r="I6"/>
  <c r="M6"/>
  <c r="N6" i="20"/>
  <c r="O6"/>
  <c r="O9"/>
  <c r="I6"/>
  <c r="G6"/>
  <c r="K6"/>
  <c r="M6"/>
  <c r="O9" i="17"/>
  <c r="N6"/>
  <c r="O6"/>
  <c r="U9" i="16"/>
  <c r="T6"/>
  <c r="U6"/>
  <c r="I6" i="15"/>
  <c r="I6" i="14"/>
  <c r="K6"/>
  <c r="M6"/>
  <c r="G6"/>
  <c r="K7" i="13"/>
  <c r="G7"/>
  <c r="I7"/>
  <c r="I6" i="11"/>
  <c r="G6"/>
  <c r="M9"/>
  <c r="L6"/>
  <c r="M6"/>
  <c r="Q9" i="14"/>
  <c r="P6"/>
  <c r="Q6"/>
  <c r="Q7" i="4"/>
  <c r="P6"/>
  <c r="Q6"/>
  <c r="R6"/>
  <c r="S6"/>
  <c r="S9"/>
  <c r="I9"/>
  <c r="N6"/>
  <c r="O9"/>
  <c r="G9"/>
  <c r="M9"/>
  <c r="K9"/>
  <c r="G10"/>
  <c r="I6"/>
  <c r="O6"/>
  <c r="M6"/>
  <c r="G6"/>
  <c r="K6"/>
</calcChain>
</file>

<file path=xl/sharedStrings.xml><?xml version="1.0" encoding="utf-8"?>
<sst xmlns="http://schemas.openxmlformats.org/spreadsheetml/2006/main" count="467" uniqueCount="137">
  <si>
    <t>투표
구수</t>
    <phoneticPr fontId="2" type="noConversion"/>
  </si>
  <si>
    <t>선거인수</t>
    <phoneticPr fontId="2" type="noConversion"/>
  </si>
  <si>
    <t>총      계</t>
    <phoneticPr fontId="2" type="noConversion"/>
  </si>
  <si>
    <t>%</t>
    <phoneticPr fontId="2" type="noConversion"/>
  </si>
  <si>
    <t>투표인수</t>
    <phoneticPr fontId="2" type="noConversion"/>
  </si>
  <si>
    <t>계</t>
    <phoneticPr fontId="2" type="noConversion"/>
  </si>
  <si>
    <t>기 권 수</t>
    <phoneticPr fontId="2" type="noConversion"/>
  </si>
  <si>
    <t>금호읍</t>
    <phoneticPr fontId="2" type="noConversion"/>
  </si>
  <si>
    <t>청통면</t>
    <phoneticPr fontId="2" type="noConversion"/>
  </si>
  <si>
    <t>신녕면</t>
    <phoneticPr fontId="2" type="noConversion"/>
  </si>
  <si>
    <t>화산면</t>
    <phoneticPr fontId="2" type="noConversion"/>
  </si>
  <si>
    <t>화북면</t>
    <phoneticPr fontId="2" type="noConversion"/>
  </si>
  <si>
    <t>화남면</t>
    <phoneticPr fontId="2" type="noConversion"/>
  </si>
  <si>
    <t>자양면</t>
    <phoneticPr fontId="2" type="noConversion"/>
  </si>
  <si>
    <t>임고면</t>
    <phoneticPr fontId="2" type="noConversion"/>
  </si>
  <si>
    <t>고경면</t>
    <phoneticPr fontId="2" type="noConversion"/>
  </si>
  <si>
    <t>북안면</t>
    <phoneticPr fontId="2" type="noConversion"/>
  </si>
  <si>
    <t>대창면</t>
    <phoneticPr fontId="2" type="noConversion"/>
  </si>
  <si>
    <t>동부동</t>
    <phoneticPr fontId="2" type="noConversion"/>
  </si>
  <si>
    <t>중앙동</t>
    <phoneticPr fontId="2" type="noConversion"/>
  </si>
  <si>
    <t>서부동</t>
    <phoneticPr fontId="2" type="noConversion"/>
  </si>
  <si>
    <t>완산동</t>
    <phoneticPr fontId="2" type="noConversion"/>
  </si>
  <si>
    <t>남부동</t>
    <phoneticPr fontId="2" type="noConversion"/>
  </si>
  <si>
    <t xml:space="preserve"> </t>
    <phoneticPr fontId="2" type="noConversion"/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</si>
  <si>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</si>
  <si>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</si>
  <si>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</si>
  <si>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</si>
  <si>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</si>
  <si>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</si>
  <si>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</si>
  <si>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</si>
  <si>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</si>
  <si>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</si>
  <si>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</si>
  <si>
    <t>0429-서식_기본_틀(1).xls</t>
  </si>
  <si>
    <t>Sheet1</t>
  </si>
  <si>
    <t>후 보 자 별   득 표 수( 유 효 투 표 수 )</t>
    <phoneticPr fontId="2" type="noConversion"/>
  </si>
  <si>
    <t>무효투표수</t>
    <phoneticPr fontId="2" type="noConversion"/>
  </si>
  <si>
    <t>소      계</t>
    <phoneticPr fontId="2" type="noConversion"/>
  </si>
  <si>
    <t>잘못투입된투표지</t>
    <phoneticPr fontId="2" type="noConversion"/>
  </si>
  <si>
    <t>읍면동</t>
    <phoneticPr fontId="2" type="noConversion"/>
  </si>
  <si>
    <t>잘못투입된투표지</t>
    <phoneticPr fontId="2" type="noConversion"/>
  </si>
  <si>
    <t>영천시장선거 득표현황</t>
    <phoneticPr fontId="2" type="noConversion"/>
  </si>
  <si>
    <t>경상북도지사선거 득표현황</t>
    <phoneticPr fontId="2" type="noConversion"/>
  </si>
  <si>
    <t>김수용</t>
    <phoneticPr fontId="2" type="noConversion"/>
  </si>
  <si>
    <t>박영환</t>
    <phoneticPr fontId="2" type="noConversion"/>
  </si>
  <si>
    <t>권호락</t>
    <phoneticPr fontId="2" type="noConversion"/>
  </si>
  <si>
    <t>전종천</t>
    <phoneticPr fontId="2" type="noConversion"/>
  </si>
  <si>
    <t>김형락</t>
    <phoneticPr fontId="2" type="noConversion"/>
  </si>
  <si>
    <t>비례대표 영천시의원선거 득표현황</t>
    <phoneticPr fontId="2" type="noConversion"/>
  </si>
  <si>
    <r>
      <t>경상북도</t>
    </r>
    <r>
      <rPr>
        <b/>
        <sz val="22"/>
        <color indexed="12"/>
        <rFont val="HY헤드라인M"/>
        <family val="1"/>
        <charset val="129"/>
      </rPr>
      <t>교육감선거</t>
    </r>
    <r>
      <rPr>
        <b/>
        <sz val="22"/>
        <rFont val="HY헤드라인M"/>
        <family val="1"/>
        <charset val="129"/>
      </rPr>
      <t xml:space="preserve"> 득표현황</t>
    </r>
    <phoneticPr fontId="2" type="noConversion"/>
  </si>
  <si>
    <r>
      <t>영천시의원(</t>
    </r>
    <r>
      <rPr>
        <b/>
        <sz val="22"/>
        <color indexed="12"/>
        <rFont val="HY헤드라인M"/>
        <family val="1"/>
        <charset val="129"/>
      </rPr>
      <t>라</t>
    </r>
    <r>
      <rPr>
        <b/>
        <sz val="22"/>
        <rFont val="HY헤드라인M"/>
        <family val="1"/>
        <charset val="129"/>
      </rPr>
      <t>선거구) 득표현황</t>
    </r>
    <phoneticPr fontId="2" type="noConversion"/>
  </si>
  <si>
    <r>
      <t>영천시의원(</t>
    </r>
    <r>
      <rPr>
        <b/>
        <sz val="22"/>
        <color indexed="12"/>
        <rFont val="HY헤드라인M"/>
        <family val="1"/>
        <charset val="129"/>
      </rPr>
      <t>다</t>
    </r>
    <r>
      <rPr>
        <b/>
        <sz val="22"/>
        <rFont val="HY헤드라인M"/>
        <family val="1"/>
        <charset val="129"/>
      </rPr>
      <t>선거구) 득표현황</t>
    </r>
    <phoneticPr fontId="2" type="noConversion"/>
  </si>
  <si>
    <r>
      <t>영천시의원(</t>
    </r>
    <r>
      <rPr>
        <b/>
        <sz val="22"/>
        <color indexed="12"/>
        <rFont val="HY헤드라인M"/>
        <family val="1"/>
        <charset val="129"/>
      </rPr>
      <t>나</t>
    </r>
    <r>
      <rPr>
        <b/>
        <sz val="22"/>
        <rFont val="HY헤드라인M"/>
        <family val="1"/>
        <charset val="129"/>
      </rPr>
      <t>선거구) 득표현황</t>
    </r>
    <phoneticPr fontId="2" type="noConversion"/>
  </si>
  <si>
    <r>
      <t>영천시의원(</t>
    </r>
    <r>
      <rPr>
        <b/>
        <sz val="22"/>
        <color indexed="12"/>
        <rFont val="HY헤드라인M"/>
        <family val="1"/>
        <charset val="129"/>
      </rPr>
      <t>가</t>
    </r>
    <r>
      <rPr>
        <b/>
        <sz val="22"/>
        <rFont val="HY헤드라인M"/>
        <family val="1"/>
        <charset val="129"/>
      </rPr>
      <t>선거구) 득표현황</t>
    </r>
    <phoneticPr fontId="2" type="noConversion"/>
  </si>
  <si>
    <r>
      <t>경상북도의원선거(</t>
    </r>
    <r>
      <rPr>
        <b/>
        <sz val="22"/>
        <color indexed="12"/>
        <rFont val="HY헤드라인M"/>
        <family val="1"/>
        <charset val="129"/>
      </rPr>
      <t>제2선거구</t>
    </r>
    <r>
      <rPr>
        <b/>
        <sz val="22"/>
        <rFont val="HY헤드라인M"/>
        <family val="1"/>
        <charset val="129"/>
      </rPr>
      <t>) 득표현황</t>
    </r>
    <phoneticPr fontId="2" type="noConversion"/>
  </si>
  <si>
    <t>김관용</t>
    <phoneticPr fontId="2" type="noConversion"/>
  </si>
  <si>
    <t>김영석</t>
    <phoneticPr fontId="2" type="noConversion"/>
  </si>
  <si>
    <t>총      계</t>
    <phoneticPr fontId="2" type="noConversion"/>
  </si>
  <si>
    <t>거소투표</t>
    <phoneticPr fontId="2" type="noConversion"/>
  </si>
  <si>
    <t>사전투표</t>
    <phoneticPr fontId="2" type="noConversion"/>
  </si>
  <si>
    <t>새누리당(1)</t>
    <phoneticPr fontId="2" type="noConversion"/>
  </si>
  <si>
    <t>새정치민주연합(2)</t>
    <phoneticPr fontId="2" type="noConversion"/>
  </si>
  <si>
    <t>통합진보당(3)</t>
    <phoneticPr fontId="2" type="noConversion"/>
  </si>
  <si>
    <t>정의당(4)</t>
    <phoneticPr fontId="2" type="noConversion"/>
  </si>
  <si>
    <t>오중기</t>
    <phoneticPr fontId="2" type="noConversion"/>
  </si>
  <si>
    <t>윤병태</t>
    <phoneticPr fontId="2" type="noConversion"/>
  </si>
  <si>
    <t>박창호</t>
    <phoneticPr fontId="2" type="noConversion"/>
  </si>
  <si>
    <t>2014. 6. 4.(수)</t>
    <phoneticPr fontId="2" type="noConversion"/>
  </si>
  <si>
    <t>박철수</t>
    <phoneticPr fontId="2" type="noConversion"/>
  </si>
  <si>
    <t>무소속(4)</t>
    <phoneticPr fontId="2" type="noConversion"/>
  </si>
  <si>
    <t>새누리당(1-가)</t>
    <phoneticPr fontId="2" type="noConversion"/>
  </si>
  <si>
    <t>새누리당(1-나)</t>
    <phoneticPr fontId="2" type="noConversion"/>
  </si>
  <si>
    <t>허순애</t>
    <phoneticPr fontId="2" type="noConversion"/>
  </si>
  <si>
    <t>정기택</t>
    <phoneticPr fontId="2" type="noConversion"/>
  </si>
  <si>
    <t>김태우</t>
    <phoneticPr fontId="2" type="noConversion"/>
  </si>
  <si>
    <t>이영우</t>
    <phoneticPr fontId="2" type="noConversion"/>
  </si>
  <si>
    <t>새누리당(1-다)</t>
    <phoneticPr fontId="2" type="noConversion"/>
  </si>
  <si>
    <t>무소속(5)</t>
    <phoneticPr fontId="2" type="noConversion"/>
  </si>
  <si>
    <t>정연복</t>
    <phoneticPr fontId="2" type="noConversion"/>
  </si>
  <si>
    <t>김영모</t>
    <phoneticPr fontId="2" type="noConversion"/>
  </si>
  <si>
    <t>정연화</t>
    <phoneticPr fontId="2" type="noConversion"/>
  </si>
  <si>
    <t>정재열</t>
    <phoneticPr fontId="2" type="noConversion"/>
  </si>
  <si>
    <t>무소속(6)</t>
    <phoneticPr fontId="2" type="noConversion"/>
  </si>
  <si>
    <t>안상섭</t>
    <phoneticPr fontId="2" type="noConversion"/>
  </si>
  <si>
    <t>이영직</t>
    <phoneticPr fontId="2" type="noConversion"/>
  </si>
  <si>
    <t>2014. 6. 4.(수)</t>
    <phoneticPr fontId="2" type="noConversion"/>
  </si>
  <si>
    <t>비례대표 경상북도의원선거 득표현황</t>
    <phoneticPr fontId="2" type="noConversion"/>
  </si>
  <si>
    <t>투표구수</t>
    <phoneticPr fontId="2" type="noConversion"/>
  </si>
  <si>
    <t>읍면동</t>
    <phoneticPr fontId="2" type="noConversion"/>
  </si>
  <si>
    <t>총      계</t>
    <phoneticPr fontId="2" type="noConversion"/>
  </si>
  <si>
    <t>사전투표</t>
    <phoneticPr fontId="2" type="noConversion"/>
  </si>
  <si>
    <t>거소투표</t>
    <phoneticPr fontId="2" type="noConversion"/>
  </si>
  <si>
    <t>소      계</t>
    <phoneticPr fontId="2" type="noConversion"/>
  </si>
  <si>
    <t>금호읍</t>
    <phoneticPr fontId="2" type="noConversion"/>
  </si>
  <si>
    <t>청통면</t>
    <phoneticPr fontId="2" type="noConversion"/>
  </si>
  <si>
    <t>신녕면</t>
    <phoneticPr fontId="2" type="noConversion"/>
  </si>
  <si>
    <t>화산면</t>
    <phoneticPr fontId="2" type="noConversion"/>
  </si>
  <si>
    <t>화북면</t>
    <phoneticPr fontId="2" type="noConversion"/>
  </si>
  <si>
    <t>화남면</t>
    <phoneticPr fontId="2" type="noConversion"/>
  </si>
  <si>
    <t>자양면</t>
    <phoneticPr fontId="2" type="noConversion"/>
  </si>
  <si>
    <t>임고면</t>
    <phoneticPr fontId="2" type="noConversion"/>
  </si>
  <si>
    <t>고경면</t>
    <phoneticPr fontId="2" type="noConversion"/>
  </si>
  <si>
    <t>북안면</t>
    <phoneticPr fontId="2" type="noConversion"/>
  </si>
  <si>
    <t>대창면</t>
    <phoneticPr fontId="2" type="noConversion"/>
  </si>
  <si>
    <t>동부동</t>
    <phoneticPr fontId="2" type="noConversion"/>
  </si>
  <si>
    <t>중앙동</t>
    <phoneticPr fontId="2" type="noConversion"/>
  </si>
  <si>
    <t>서부동</t>
    <phoneticPr fontId="2" type="noConversion"/>
  </si>
  <si>
    <t>완산동</t>
    <phoneticPr fontId="2" type="noConversion"/>
  </si>
  <si>
    <t>남부동</t>
    <phoneticPr fontId="2" type="noConversion"/>
  </si>
  <si>
    <t>잘못투입된투표지</t>
    <phoneticPr fontId="2" type="noConversion"/>
  </si>
  <si>
    <t>`</t>
    <phoneticPr fontId="2" type="noConversion"/>
  </si>
  <si>
    <t>투표
구수</t>
    <phoneticPr fontId="2" type="noConversion"/>
  </si>
  <si>
    <t>선거인수</t>
    <phoneticPr fontId="2" type="noConversion"/>
  </si>
  <si>
    <t>투표인수</t>
    <phoneticPr fontId="2" type="noConversion"/>
  </si>
  <si>
    <t>후 보 자 별   득 표 수( 유 효 투 표 수 )</t>
    <phoneticPr fontId="2" type="noConversion"/>
  </si>
  <si>
    <t>무효투표수</t>
    <phoneticPr fontId="2" type="noConversion"/>
  </si>
  <si>
    <t>기 권 수</t>
    <phoneticPr fontId="2" type="noConversion"/>
  </si>
  <si>
    <t>새누리당(1)</t>
    <phoneticPr fontId="2" type="noConversion"/>
  </si>
  <si>
    <t>새정치민주연합(2)</t>
    <phoneticPr fontId="2" type="noConversion"/>
  </si>
  <si>
    <t>통합진보당(3)</t>
    <phoneticPr fontId="2" type="noConversion"/>
  </si>
  <si>
    <t>정의당(4)</t>
    <phoneticPr fontId="2" type="noConversion"/>
  </si>
  <si>
    <t>노동당(5)</t>
    <phoneticPr fontId="2" type="noConversion"/>
  </si>
  <si>
    <t>새정치당(6)</t>
    <phoneticPr fontId="2" type="noConversion"/>
  </si>
  <si>
    <t>계</t>
    <phoneticPr fontId="2" type="noConversion"/>
  </si>
  <si>
    <t>%</t>
    <phoneticPr fontId="2" type="noConversion"/>
  </si>
  <si>
    <t>새누리당(1-가)</t>
    <phoneticPr fontId="2" type="noConversion"/>
  </si>
  <si>
    <t>새누리당(1-나)</t>
    <phoneticPr fontId="2" type="noConversion"/>
  </si>
  <si>
    <t>무소속(4)</t>
    <phoneticPr fontId="2" type="noConversion"/>
  </si>
  <si>
    <t>이춘우</t>
    <phoneticPr fontId="2" type="noConversion"/>
  </si>
  <si>
    <t>모석종</t>
    <phoneticPr fontId="2" type="noConversion"/>
  </si>
  <si>
    <t>박종운</t>
    <phoneticPr fontId="2" type="noConversion"/>
  </si>
  <si>
    <t>무소속</t>
    <phoneticPr fontId="2" type="noConversion"/>
  </si>
  <si>
    <t>김찬주</t>
    <phoneticPr fontId="2" type="noConversion"/>
  </si>
  <si>
    <t>김동주</t>
    <phoneticPr fontId="2" type="noConversion"/>
  </si>
  <si>
    <t>이상근</t>
    <phoneticPr fontId="2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</si>
</sst>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97" formatCode="_-* #,##0.0_-;\-* #,##0.0_-;_-* &quot;-&quot;_-;_-@_-"/>
    <numFmt numFmtId="211" formatCode="_-* #,##0.00\ &quot;DM&quot;_-;\-* #,##0.00\ &quot;DM&quot;_-;_-* &quot;-&quot;??\ &quot;DM&quot;_-;_-@_-"/>
    <numFmt numFmtId="212" formatCode="&quot;₩&quot;#,##0.00;[Red]&quot;₩&quot;&quot;₩&quot;&quot;₩&quot;&quot;₩&quot;&quot;₩&quot;&quot;₩&quot;\-#,##0.00"/>
  </numFmts>
  <fonts count="4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"/>
      <family val="1"/>
      <charset val="129"/>
    </font>
    <font>
      <b/>
      <sz val="11"/>
      <name val="바탕"/>
      <family val="1"/>
      <charset val="129"/>
    </font>
    <font>
      <sz val="9"/>
      <name val="바탕"/>
      <family val="1"/>
      <charset val="129"/>
    </font>
    <font>
      <b/>
      <sz val="13"/>
      <name val="돋움"/>
      <family val="3"/>
      <charset val="129"/>
    </font>
    <font>
      <b/>
      <sz val="11"/>
      <color indexed="13"/>
      <name val="바탕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2"/>
      <name val="뼻뮝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sz val="10"/>
      <name val="돋움"/>
      <family val="3"/>
      <charset val="129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1"/>
      <color indexed="10"/>
      <name val="바탕"/>
      <family val="1"/>
      <charset val="129"/>
    </font>
    <font>
      <b/>
      <sz val="8"/>
      <name val="바탕"/>
      <family val="1"/>
      <charset val="129"/>
    </font>
    <font>
      <b/>
      <sz val="10"/>
      <name val="바탕"/>
      <family val="1"/>
      <charset val="129"/>
    </font>
    <font>
      <b/>
      <sz val="9"/>
      <name val="바탕"/>
      <family val="1"/>
      <charset val="129"/>
    </font>
    <font>
      <b/>
      <sz val="22"/>
      <name val="HY헤드라인M"/>
      <family val="1"/>
      <charset val="129"/>
    </font>
    <font>
      <sz val="10"/>
      <name val="바탕"/>
      <family val="1"/>
      <charset val="129"/>
    </font>
    <font>
      <b/>
      <sz val="22"/>
      <color indexed="12"/>
      <name val="HY헤드라인M"/>
      <family val="1"/>
      <charset val="129"/>
    </font>
    <font>
      <b/>
      <sz val="10"/>
      <color indexed="12"/>
      <name val="바탕"/>
      <family val="1"/>
      <charset val="129"/>
    </font>
    <font>
      <b/>
      <sz val="9"/>
      <color indexed="12"/>
      <name val="바탕"/>
      <family val="1"/>
      <charset val="129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60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23" borderId="3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7" borderId="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20" borderId="9" applyNumberFormat="0" applyAlignment="0" applyProtection="0">
      <alignment vertical="center"/>
    </xf>
    <xf numFmtId="211" fontId="1" fillId="0" borderId="0" applyFont="0" applyFill="0" applyBorder="0" applyAlignment="0" applyProtection="0"/>
    <xf numFmtId="212" fontId="26" fillId="0" borderId="0" applyFont="0" applyFill="0" applyBorder="0" applyAlignment="0" applyProtection="0"/>
    <xf numFmtId="0" fontId="1" fillId="0" borderId="0">
      <alignment vertical="center"/>
    </xf>
    <xf numFmtId="0" fontId="26" fillId="0" borderId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8" fillId="0" borderId="10" applyNumberFormat="0" applyAlignment="0" applyProtection="0">
      <alignment horizontal="left" vertical="center"/>
    </xf>
    <xf numFmtId="0" fontId="28" fillId="0" borderId="11">
      <alignment horizontal="left" vertical="center"/>
    </xf>
    <xf numFmtId="0" fontId="26" fillId="0" borderId="0"/>
  </cellStyleXfs>
  <cellXfs count="17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9" fillId="24" borderId="0" xfId="47" applyFont="1" applyFill="1"/>
    <xf numFmtId="0" fontId="26" fillId="0" borderId="0" xfId="47"/>
    <xf numFmtId="0" fontId="26" fillId="24" borderId="0" xfId="47" applyFill="1"/>
    <xf numFmtId="0" fontId="26" fillId="25" borderId="12" xfId="47" applyFill="1" applyBorder="1"/>
    <xf numFmtId="0" fontId="26" fillId="26" borderId="13" xfId="47" applyFill="1" applyBorder="1"/>
    <xf numFmtId="0" fontId="30" fillId="27" borderId="14" xfId="47" applyFont="1" applyFill="1" applyBorder="1" applyAlignment="1">
      <alignment horizontal="center"/>
    </xf>
    <xf numFmtId="0" fontId="31" fillId="28" borderId="15" xfId="47" applyFont="1" applyFill="1" applyBorder="1" applyAlignment="1">
      <alignment horizontal="center"/>
    </xf>
    <xf numFmtId="0" fontId="30" fillId="27" borderId="15" xfId="47" applyFont="1" applyFill="1" applyBorder="1" applyAlignment="1">
      <alignment horizontal="center"/>
    </xf>
    <xf numFmtId="0" fontId="30" fillId="27" borderId="16" xfId="47" applyFont="1" applyFill="1" applyBorder="1" applyAlignment="1">
      <alignment horizontal="center"/>
    </xf>
    <xf numFmtId="0" fontId="26" fillId="26" borderId="17" xfId="47" applyFill="1" applyBorder="1"/>
    <xf numFmtId="0" fontId="26" fillId="25" borderId="18" xfId="47" applyFill="1" applyBorder="1"/>
    <xf numFmtId="0" fontId="26" fillId="26" borderId="18" xfId="47" applyFill="1" applyBorder="1"/>
    <xf numFmtId="0" fontId="26" fillId="25" borderId="19" xfId="47" applyFill="1" applyBorder="1"/>
    <xf numFmtId="0" fontId="32" fillId="0" borderId="0" xfId="0" applyFont="1" applyAlignment="1">
      <alignment vertical="center"/>
    </xf>
    <xf numFmtId="0" fontId="4" fillId="0" borderId="0" xfId="0" applyNumberFormat="1" applyFont="1" applyAlignment="1">
      <alignment horizontal="right" vertical="center"/>
    </xf>
    <xf numFmtId="197" fontId="5" fillId="29" borderId="20" xfId="33" applyNumberFormat="1" applyFont="1" applyFill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41" fontId="5" fillId="0" borderId="20" xfId="33" applyFont="1" applyBorder="1" applyAlignment="1">
      <alignment horizontal="center" vertical="center" shrinkToFit="1"/>
    </xf>
    <xf numFmtId="41" fontId="37" fillId="30" borderId="20" xfId="33" applyFont="1" applyFill="1" applyBorder="1" applyAlignment="1">
      <alignment horizontal="center" vertical="center" shrinkToFit="1"/>
    </xf>
    <xf numFmtId="3" fontId="35" fillId="26" borderId="20" xfId="0" applyNumberFormat="1" applyFont="1" applyFill="1" applyBorder="1" applyAlignment="1">
      <alignment horizontal="center" vertical="center" shrinkToFit="1"/>
    </xf>
    <xf numFmtId="41" fontId="34" fillId="26" borderId="20" xfId="33" applyFont="1" applyFill="1" applyBorder="1" applyAlignment="1">
      <alignment horizontal="center" vertical="center" shrinkToFit="1"/>
    </xf>
    <xf numFmtId="197" fontId="3" fillId="0" borderId="0" xfId="0" applyNumberFormat="1" applyFont="1" applyAlignment="1">
      <alignment horizontal="center" vertical="center"/>
    </xf>
    <xf numFmtId="197" fontId="7" fillId="0" borderId="0" xfId="0" applyNumberFormat="1" applyFont="1" applyAlignment="1">
      <alignment horizontal="center" vertical="center"/>
    </xf>
    <xf numFmtId="197" fontId="4" fillId="0" borderId="0" xfId="0" applyNumberFormat="1" applyFont="1" applyAlignment="1">
      <alignment horizontal="center" vertical="center"/>
    </xf>
    <xf numFmtId="197" fontId="5" fillId="0" borderId="20" xfId="33" applyNumberFormat="1" applyFont="1" applyFill="1" applyBorder="1" applyAlignment="1">
      <alignment horizontal="center" vertical="center" shrinkToFit="1"/>
    </xf>
    <xf numFmtId="41" fontId="5" fillId="0" borderId="20" xfId="33" applyFont="1" applyFill="1" applyBorder="1" applyAlignment="1">
      <alignment horizontal="center" vertical="center" shrinkToFit="1"/>
    </xf>
    <xf numFmtId="197" fontId="37" fillId="0" borderId="20" xfId="33" applyNumberFormat="1" applyFont="1" applyFill="1" applyBorder="1" applyAlignment="1">
      <alignment horizontal="center" vertical="center" shrinkToFit="1"/>
    </xf>
    <xf numFmtId="197" fontId="35" fillId="26" borderId="20" xfId="33" applyNumberFormat="1" applyFont="1" applyFill="1" applyBorder="1" applyAlignment="1">
      <alignment horizontal="center" vertical="center" shrinkToFit="1"/>
    </xf>
    <xf numFmtId="41" fontId="35" fillId="32" borderId="21" xfId="0" applyNumberFormat="1" applyFont="1" applyFill="1" applyBorder="1" applyAlignment="1">
      <alignment horizontal="center" vertical="center"/>
    </xf>
    <xf numFmtId="197" fontId="5" fillId="32" borderId="20" xfId="0" applyNumberFormat="1" applyFont="1" applyFill="1" applyBorder="1" applyAlignment="1">
      <alignment horizontal="center" vertical="center"/>
    </xf>
    <xf numFmtId="41" fontId="39" fillId="32" borderId="21" xfId="0" applyNumberFormat="1" applyFont="1" applyFill="1" applyBorder="1" applyAlignment="1">
      <alignment horizontal="center" vertical="center"/>
    </xf>
    <xf numFmtId="41" fontId="5" fillId="32" borderId="2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41" fontId="5" fillId="32" borderId="22" xfId="0" applyNumberFormat="1" applyFont="1" applyFill="1" applyBorder="1" applyAlignment="1">
      <alignment horizontal="center" vertical="center"/>
    </xf>
    <xf numFmtId="0" fontId="35" fillId="26" borderId="23" xfId="0" applyFont="1" applyFill="1" applyBorder="1" applyAlignment="1">
      <alignment horizontal="center" vertical="center" shrinkToFit="1"/>
    </xf>
    <xf numFmtId="197" fontId="35" fillId="26" borderId="22" xfId="33" applyNumberFormat="1" applyFont="1" applyFill="1" applyBorder="1" applyAlignment="1">
      <alignment horizontal="center" vertical="center" shrinkToFit="1"/>
    </xf>
    <xf numFmtId="0" fontId="35" fillId="33" borderId="23" xfId="0" applyFont="1" applyFill="1" applyBorder="1" applyAlignment="1">
      <alignment horizontal="center" vertical="center" shrinkToFit="1"/>
    </xf>
    <xf numFmtId="197" fontId="5" fillId="29" borderId="22" xfId="33" applyNumberFormat="1" applyFont="1" applyFill="1" applyBorder="1" applyAlignment="1">
      <alignment horizontal="center" vertical="center" shrinkToFit="1"/>
    </xf>
    <xf numFmtId="3" fontId="5" fillId="0" borderId="20" xfId="0" applyNumberFormat="1" applyFont="1" applyFill="1" applyBorder="1" applyAlignment="1">
      <alignment horizontal="center" vertical="center" shrinkToFit="1"/>
    </xf>
    <xf numFmtId="41" fontId="37" fillId="34" borderId="20" xfId="33" applyFont="1" applyFill="1" applyBorder="1" applyAlignment="1">
      <alignment horizontal="center" vertical="center" shrinkToFit="1"/>
    </xf>
    <xf numFmtId="197" fontId="37" fillId="34" borderId="20" xfId="33" applyNumberFormat="1" applyFont="1" applyFill="1" applyBorder="1" applyAlignment="1">
      <alignment horizontal="center" vertical="center" shrinkToFit="1"/>
    </xf>
    <xf numFmtId="197" fontId="37" fillId="34" borderId="22" xfId="33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41" fontId="35" fillId="26" borderId="20" xfId="33" applyFont="1" applyFill="1" applyBorder="1" applyAlignment="1">
      <alignment horizontal="center" vertical="center" shrinkToFit="1"/>
    </xf>
    <xf numFmtId="0" fontId="5" fillId="31" borderId="0" xfId="0" applyFont="1" applyFill="1" applyAlignment="1">
      <alignment horizontal="center" vertical="center"/>
    </xf>
    <xf numFmtId="41" fontId="5" fillId="30" borderId="20" xfId="33" applyFont="1" applyFill="1" applyBorder="1" applyAlignment="1">
      <alignment horizontal="center" vertical="center" shrinkToFit="1"/>
    </xf>
    <xf numFmtId="197" fontId="35" fillId="35" borderId="20" xfId="33" applyNumberFormat="1" applyFont="1" applyFill="1" applyBorder="1" applyAlignment="1">
      <alignment horizontal="center" vertical="center" shrinkToFit="1"/>
    </xf>
    <xf numFmtId="41" fontId="35" fillId="32" borderId="21" xfId="0" applyNumberFormat="1" applyFont="1" applyFill="1" applyBorder="1" applyAlignment="1">
      <alignment horizontal="center" vertical="center"/>
    </xf>
    <xf numFmtId="0" fontId="34" fillId="26" borderId="23" xfId="0" applyFont="1" applyFill="1" applyBorder="1" applyAlignment="1">
      <alignment horizontal="center" vertical="center" shrinkToFit="1"/>
    </xf>
    <xf numFmtId="3" fontId="34" fillId="26" borderId="20" xfId="0" applyNumberFormat="1" applyFont="1" applyFill="1" applyBorder="1" applyAlignment="1">
      <alignment horizontal="center" vertical="center" shrinkToFit="1"/>
    </xf>
    <xf numFmtId="197" fontId="34" fillId="26" borderId="20" xfId="33" applyNumberFormat="1" applyFont="1" applyFill="1" applyBorder="1" applyAlignment="1">
      <alignment horizontal="center" vertical="center" shrinkToFit="1"/>
    </xf>
    <xf numFmtId="197" fontId="34" fillId="26" borderId="22" xfId="33" applyNumberFormat="1" applyFont="1" applyFill="1" applyBorder="1" applyAlignment="1">
      <alignment horizontal="center" vertical="center" shrinkToFit="1"/>
    </xf>
    <xf numFmtId="0" fontId="37" fillId="0" borderId="0" xfId="0" applyFont="1" applyAlignment="1">
      <alignment horizontal="center" vertical="center"/>
    </xf>
    <xf numFmtId="0" fontId="34" fillId="33" borderId="23" xfId="0" applyFont="1" applyFill="1" applyBorder="1" applyAlignment="1">
      <alignment horizontal="center" vertical="center" shrinkToFit="1"/>
    </xf>
    <xf numFmtId="41" fontId="37" fillId="0" borderId="20" xfId="33" applyFont="1" applyBorder="1" applyAlignment="1">
      <alignment horizontal="center" vertical="center" shrinkToFit="1"/>
    </xf>
    <xf numFmtId="41" fontId="37" fillId="0" borderId="20" xfId="33" applyFont="1" applyFill="1" applyBorder="1" applyAlignment="1">
      <alignment horizontal="center" vertical="center" shrinkToFit="1"/>
    </xf>
    <xf numFmtId="3" fontId="37" fillId="0" borderId="20" xfId="0" applyNumberFormat="1" applyFont="1" applyBorder="1" applyAlignment="1">
      <alignment horizontal="center" vertical="center" shrinkToFit="1"/>
    </xf>
    <xf numFmtId="0" fontId="37" fillId="31" borderId="0" xfId="0" applyFont="1" applyFill="1" applyAlignment="1">
      <alignment horizontal="center" vertical="center"/>
    </xf>
    <xf numFmtId="3" fontId="37" fillId="0" borderId="20" xfId="0" applyNumberFormat="1" applyFont="1" applyFill="1" applyBorder="1" applyAlignment="1">
      <alignment horizontal="center" vertical="center" shrinkToFit="1"/>
    </xf>
    <xf numFmtId="3" fontId="35" fillId="0" borderId="20" xfId="0" applyNumberFormat="1" applyFont="1" applyFill="1" applyBorder="1" applyAlignment="1">
      <alignment horizontal="center" vertical="center" shrinkToFit="1"/>
    </xf>
    <xf numFmtId="41" fontId="35" fillId="0" borderId="20" xfId="33" applyFont="1" applyFill="1" applyBorder="1" applyAlignment="1">
      <alignment horizontal="center" vertical="center" shrinkToFit="1"/>
    </xf>
    <xf numFmtId="41" fontId="35" fillId="0" borderId="20" xfId="33" applyFont="1" applyBorder="1" applyAlignment="1">
      <alignment horizontal="center" vertical="center" shrinkToFit="1"/>
    </xf>
    <xf numFmtId="41" fontId="5" fillId="34" borderId="20" xfId="33" applyFont="1" applyFill="1" applyBorder="1" applyAlignment="1">
      <alignment horizontal="center" vertical="center" shrinkToFit="1"/>
    </xf>
    <xf numFmtId="41" fontId="34" fillId="32" borderId="21" xfId="0" applyNumberFormat="1" applyFont="1" applyFill="1" applyBorder="1" applyAlignment="1">
      <alignment horizontal="center" vertical="center"/>
    </xf>
    <xf numFmtId="197" fontId="37" fillId="32" borderId="20" xfId="0" applyNumberFormat="1" applyFont="1" applyFill="1" applyBorder="1" applyAlignment="1">
      <alignment horizontal="center" vertical="center"/>
    </xf>
    <xf numFmtId="41" fontId="37" fillId="32" borderId="20" xfId="0" applyNumberFormat="1" applyFont="1" applyFill="1" applyBorder="1" applyAlignment="1">
      <alignment horizontal="center" vertical="center"/>
    </xf>
    <xf numFmtId="41" fontId="37" fillId="32" borderId="22" xfId="0" applyNumberFormat="1" applyFont="1" applyFill="1" applyBorder="1" applyAlignment="1">
      <alignment horizontal="center" vertical="center"/>
    </xf>
    <xf numFmtId="41" fontId="40" fillId="32" borderId="21" xfId="0" applyNumberFormat="1" applyFont="1" applyFill="1" applyBorder="1" applyAlignment="1">
      <alignment horizontal="center" vertical="center"/>
    </xf>
    <xf numFmtId="197" fontId="5" fillId="34" borderId="20" xfId="33" applyNumberFormat="1" applyFont="1" applyFill="1" applyBorder="1" applyAlignment="1">
      <alignment horizontal="center" vertical="center" shrinkToFit="1"/>
    </xf>
    <xf numFmtId="197" fontId="5" fillId="34" borderId="22" xfId="33" applyNumberFormat="1" applyFont="1" applyFill="1" applyBorder="1" applyAlignment="1">
      <alignment horizontal="center" vertical="center" shrinkToFit="1"/>
    </xf>
    <xf numFmtId="0" fontId="37" fillId="0" borderId="0" xfId="0" applyFont="1" applyFill="1" applyAlignment="1">
      <alignment horizontal="center" vertical="center"/>
    </xf>
    <xf numFmtId="0" fontId="34" fillId="35" borderId="23" xfId="0" applyFont="1" applyFill="1" applyBorder="1" applyAlignment="1">
      <alignment horizontal="center" vertical="center" shrinkToFit="1"/>
    </xf>
    <xf numFmtId="3" fontId="34" fillId="35" borderId="20" xfId="0" applyNumberFormat="1" applyFont="1" applyFill="1" applyBorder="1" applyAlignment="1">
      <alignment horizontal="center" vertical="center" shrinkToFit="1"/>
    </xf>
    <xf numFmtId="41" fontId="34" fillId="35" borderId="20" xfId="33" applyFont="1" applyFill="1" applyBorder="1" applyAlignment="1">
      <alignment horizontal="center" vertical="center" shrinkToFit="1"/>
    </xf>
    <xf numFmtId="197" fontId="34" fillId="35" borderId="20" xfId="33" applyNumberFormat="1" applyFont="1" applyFill="1" applyBorder="1" applyAlignment="1">
      <alignment horizontal="center" vertical="center" shrinkToFit="1"/>
    </xf>
    <xf numFmtId="197" fontId="34" fillId="35" borderId="22" xfId="33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3" fontId="35" fillId="35" borderId="20" xfId="0" applyNumberFormat="1" applyFont="1" applyFill="1" applyBorder="1" applyAlignment="1">
      <alignment horizontal="center" vertical="center" shrinkToFit="1"/>
    </xf>
    <xf numFmtId="197" fontId="35" fillId="35" borderId="22" xfId="33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5" fillId="35" borderId="23" xfId="0" applyFont="1" applyFill="1" applyBorder="1" applyAlignment="1">
      <alignment horizontal="center" vertical="center" shrinkToFit="1"/>
    </xf>
    <xf numFmtId="0" fontId="34" fillId="33" borderId="24" xfId="0" applyFont="1" applyFill="1" applyBorder="1" applyAlignment="1">
      <alignment horizontal="center" vertical="center" shrinkToFit="1"/>
    </xf>
    <xf numFmtId="3" fontId="37" fillId="0" borderId="25" xfId="0" applyNumberFormat="1" applyFont="1" applyFill="1" applyBorder="1" applyAlignment="1">
      <alignment horizontal="center" vertical="center" shrinkToFit="1"/>
    </xf>
    <xf numFmtId="41" fontId="37" fillId="34" borderId="25" xfId="33" applyFont="1" applyFill="1" applyBorder="1" applyAlignment="1">
      <alignment horizontal="center" vertical="center" shrinkToFit="1"/>
    </xf>
    <xf numFmtId="41" fontId="37" fillId="30" borderId="25" xfId="33" applyFont="1" applyFill="1" applyBorder="1" applyAlignment="1">
      <alignment horizontal="center" vertical="center" shrinkToFit="1"/>
    </xf>
    <xf numFmtId="197" fontId="37" fillId="34" borderId="25" xfId="33" applyNumberFormat="1" applyFont="1" applyFill="1" applyBorder="1" applyAlignment="1">
      <alignment horizontal="center" vertical="center" shrinkToFit="1"/>
    </xf>
    <xf numFmtId="197" fontId="37" fillId="34" borderId="26" xfId="33" applyNumberFormat="1" applyFont="1" applyFill="1" applyBorder="1" applyAlignment="1">
      <alignment horizontal="center" vertical="center" shrinkToFit="1"/>
    </xf>
    <xf numFmtId="41" fontId="37" fillId="34" borderId="27" xfId="33" applyFont="1" applyFill="1" applyBorder="1" applyAlignment="1">
      <alignment horizontal="center" vertical="center" shrinkToFit="1"/>
    </xf>
    <xf numFmtId="41" fontId="37" fillId="30" borderId="27" xfId="33" applyFont="1" applyFill="1" applyBorder="1" applyAlignment="1">
      <alignment horizontal="center" vertical="center" shrinkToFit="1"/>
    </xf>
    <xf numFmtId="197" fontId="37" fillId="34" borderId="27" xfId="33" applyNumberFormat="1" applyFont="1" applyFill="1" applyBorder="1" applyAlignment="1">
      <alignment horizontal="center" vertical="center" shrinkToFit="1"/>
    </xf>
    <xf numFmtId="197" fontId="37" fillId="34" borderId="28" xfId="33" applyNumberFormat="1" applyFont="1" applyFill="1" applyBorder="1" applyAlignment="1">
      <alignment horizontal="center" vertical="center" shrinkToFit="1"/>
    </xf>
    <xf numFmtId="0" fontId="35" fillId="33" borderId="24" xfId="0" applyFont="1" applyFill="1" applyBorder="1" applyAlignment="1">
      <alignment horizontal="center" vertical="center" shrinkToFit="1"/>
    </xf>
    <xf numFmtId="3" fontId="5" fillId="0" borderId="25" xfId="0" applyNumberFormat="1" applyFont="1" applyFill="1" applyBorder="1" applyAlignment="1">
      <alignment horizontal="center" vertical="center" shrinkToFit="1"/>
    </xf>
    <xf numFmtId="41" fontId="5" fillId="34" borderId="25" xfId="33" applyFont="1" applyFill="1" applyBorder="1" applyAlignment="1">
      <alignment horizontal="center" vertical="center" shrinkToFit="1"/>
    </xf>
    <xf numFmtId="41" fontId="5" fillId="30" borderId="25" xfId="33" applyFont="1" applyFill="1" applyBorder="1" applyAlignment="1">
      <alignment horizontal="center" vertical="center" shrinkToFit="1"/>
    </xf>
    <xf numFmtId="197" fontId="5" fillId="29" borderId="25" xfId="33" applyNumberFormat="1" applyFont="1" applyFill="1" applyBorder="1" applyAlignment="1">
      <alignment horizontal="center" vertical="center" shrinkToFit="1"/>
    </xf>
    <xf numFmtId="41" fontId="5" fillId="0" borderId="25" xfId="33" applyFont="1" applyBorder="1" applyAlignment="1">
      <alignment horizontal="center" vertical="center" shrinkToFit="1"/>
    </xf>
    <xf numFmtId="197" fontId="5" fillId="29" borderId="26" xfId="33" applyNumberFormat="1" applyFont="1" applyFill="1" applyBorder="1" applyAlignment="1">
      <alignment horizontal="center" vertical="center" shrinkToFit="1"/>
    </xf>
    <xf numFmtId="41" fontId="5" fillId="34" borderId="27" xfId="33" applyFont="1" applyFill="1" applyBorder="1" applyAlignment="1">
      <alignment horizontal="center" vertical="center" shrinkToFit="1"/>
    </xf>
    <xf numFmtId="41" fontId="5" fillId="30" borderId="27" xfId="33" applyFont="1" applyFill="1" applyBorder="1" applyAlignment="1">
      <alignment horizontal="center" vertical="center" shrinkToFit="1"/>
    </xf>
    <xf numFmtId="197" fontId="5" fillId="34" borderId="27" xfId="33" applyNumberFormat="1" applyFont="1" applyFill="1" applyBorder="1" applyAlignment="1">
      <alignment horizontal="center" vertical="center" shrinkToFit="1"/>
    </xf>
    <xf numFmtId="41" fontId="5" fillId="0" borderId="27" xfId="33" applyFont="1" applyBorder="1" applyAlignment="1">
      <alignment horizontal="center" vertical="center" shrinkToFit="1"/>
    </xf>
    <xf numFmtId="197" fontId="5" fillId="34" borderId="28" xfId="33" applyNumberFormat="1" applyFont="1" applyFill="1" applyBorder="1" applyAlignment="1">
      <alignment horizontal="center" vertical="center" shrinkToFit="1"/>
    </xf>
    <xf numFmtId="197" fontId="37" fillId="0" borderId="25" xfId="33" applyNumberFormat="1" applyFont="1" applyFill="1" applyBorder="1" applyAlignment="1">
      <alignment horizontal="center" vertical="center" shrinkToFit="1"/>
    </xf>
    <xf numFmtId="197" fontId="37" fillId="0" borderId="27" xfId="33" applyNumberFormat="1" applyFont="1" applyFill="1" applyBorder="1" applyAlignment="1">
      <alignment horizontal="center" vertical="center" shrinkToFit="1"/>
    </xf>
    <xf numFmtId="41" fontId="37" fillId="0" borderId="25" xfId="33" applyFont="1" applyBorder="1" applyAlignment="1">
      <alignment horizontal="center" vertical="center" shrinkToFit="1"/>
    </xf>
    <xf numFmtId="41" fontId="37" fillId="0" borderId="27" xfId="33" applyFont="1" applyBorder="1" applyAlignment="1">
      <alignment horizontal="center" vertical="center" shrinkToFit="1"/>
    </xf>
    <xf numFmtId="197" fontId="5" fillId="0" borderId="27" xfId="33" applyNumberFormat="1" applyFont="1" applyFill="1" applyBorder="1" applyAlignment="1">
      <alignment horizontal="center" vertical="center" shrinkToFit="1"/>
    </xf>
    <xf numFmtId="197" fontId="5" fillId="34" borderId="25" xfId="33" applyNumberFormat="1" applyFont="1" applyFill="1" applyBorder="1" applyAlignment="1">
      <alignment horizontal="center" vertical="center" shrinkToFit="1"/>
    </xf>
    <xf numFmtId="41" fontId="5" fillId="0" borderId="25" xfId="33" applyFont="1" applyFill="1" applyBorder="1" applyAlignment="1">
      <alignment horizontal="center" vertical="center" shrinkToFit="1"/>
    </xf>
    <xf numFmtId="197" fontId="5" fillId="34" borderId="26" xfId="33" applyNumberFormat="1" applyFont="1" applyFill="1" applyBorder="1" applyAlignment="1">
      <alignment horizontal="center" vertical="center" shrinkToFit="1"/>
    </xf>
    <xf numFmtId="41" fontId="5" fillId="0" borderId="20" xfId="33" applyNumberFormat="1" applyFont="1" applyFill="1" applyBorder="1" applyAlignment="1">
      <alignment horizontal="center" vertical="center" shrinkToFit="1"/>
    </xf>
    <xf numFmtId="41" fontId="5" fillId="0" borderId="25" xfId="33" applyNumberFormat="1" applyFont="1" applyFill="1" applyBorder="1" applyAlignment="1">
      <alignment horizontal="center" vertical="center" shrinkToFit="1"/>
    </xf>
    <xf numFmtId="41" fontId="35" fillId="26" borderId="20" xfId="33" applyNumberFormat="1" applyFont="1" applyFill="1" applyBorder="1" applyAlignment="1">
      <alignment horizontal="center" vertical="center" shrinkToFit="1"/>
    </xf>
    <xf numFmtId="0" fontId="34" fillId="32" borderId="44" xfId="0" applyFont="1" applyFill="1" applyBorder="1" applyAlignment="1">
      <alignment horizontal="center" vertical="center"/>
    </xf>
    <xf numFmtId="0" fontId="34" fillId="32" borderId="45" xfId="0" applyFont="1" applyFill="1" applyBorder="1" applyAlignment="1">
      <alignment horizontal="center" vertical="center"/>
    </xf>
    <xf numFmtId="0" fontId="34" fillId="32" borderId="46" xfId="0" applyFont="1" applyFill="1" applyBorder="1" applyAlignment="1">
      <alignment horizontal="center" vertical="center"/>
    </xf>
    <xf numFmtId="41" fontId="34" fillId="32" borderId="33" xfId="0" applyNumberFormat="1" applyFont="1" applyFill="1" applyBorder="1" applyAlignment="1">
      <alignment horizontal="center" vertical="center"/>
    </xf>
    <xf numFmtId="41" fontId="34" fillId="32" borderId="34" xfId="0" applyNumberFormat="1" applyFont="1" applyFill="1" applyBorder="1" applyAlignment="1">
      <alignment horizontal="center" vertical="center"/>
    </xf>
    <xf numFmtId="41" fontId="34" fillId="32" borderId="38" xfId="0" applyNumberFormat="1" applyFont="1" applyFill="1" applyBorder="1" applyAlignment="1">
      <alignment horizontal="center" vertical="center"/>
    </xf>
    <xf numFmtId="41" fontId="34" fillId="32" borderId="39" xfId="0" applyNumberFormat="1" applyFont="1" applyFill="1" applyBorder="1" applyAlignment="1">
      <alignment horizontal="center" vertical="center"/>
    </xf>
    <xf numFmtId="41" fontId="34" fillId="32" borderId="40" xfId="0" applyNumberFormat="1" applyFont="1" applyFill="1" applyBorder="1" applyAlignment="1">
      <alignment horizontal="center" vertical="center"/>
    </xf>
    <xf numFmtId="41" fontId="34" fillId="32" borderId="41" xfId="0" applyNumberFormat="1" applyFont="1" applyFill="1" applyBorder="1" applyAlignment="1">
      <alignment horizontal="center" vertical="center"/>
    </xf>
    <xf numFmtId="41" fontId="34" fillId="32" borderId="29" xfId="0" applyNumberFormat="1" applyFont="1" applyFill="1" applyBorder="1" applyAlignment="1">
      <alignment horizontal="center" vertical="center" wrapText="1"/>
    </xf>
    <xf numFmtId="41" fontId="34" fillId="32" borderId="30" xfId="0" applyNumberFormat="1" applyFont="1" applyFill="1" applyBorder="1" applyAlignment="1">
      <alignment horizontal="center" vertical="center" wrapText="1"/>
    </xf>
    <xf numFmtId="41" fontId="34" fillId="32" borderId="21" xfId="0" applyNumberFormat="1" applyFont="1" applyFill="1" applyBorder="1" applyAlignment="1">
      <alignment horizontal="center" vertical="center" wrapText="1"/>
    </xf>
    <xf numFmtId="41" fontId="34" fillId="32" borderId="29" xfId="0" applyNumberFormat="1" applyFont="1" applyFill="1" applyBorder="1" applyAlignment="1">
      <alignment horizontal="center" vertical="center"/>
    </xf>
    <xf numFmtId="41" fontId="34" fillId="32" borderId="30" xfId="0" applyNumberFormat="1" applyFont="1" applyFill="1" applyBorder="1" applyAlignment="1">
      <alignment horizontal="center" vertical="center"/>
    </xf>
    <xf numFmtId="41" fontId="34" fillId="32" borderId="21" xfId="0" applyNumberFormat="1" applyFont="1" applyFill="1" applyBorder="1" applyAlignment="1">
      <alignment horizontal="center" vertical="center"/>
    </xf>
    <xf numFmtId="0" fontId="35" fillId="33" borderId="31" xfId="0" applyFont="1" applyFill="1" applyBorder="1" applyAlignment="1">
      <alignment horizontal="center" vertical="center" shrinkToFit="1"/>
    </xf>
    <xf numFmtId="0" fontId="35" fillId="33" borderId="32" xfId="0" applyFont="1" applyFill="1" applyBorder="1" applyAlignment="1">
      <alignment horizontal="center" vertical="center" shrinkToFit="1"/>
    </xf>
    <xf numFmtId="41" fontId="34" fillId="32" borderId="35" xfId="0" applyNumberFormat="1" applyFont="1" applyFill="1" applyBorder="1" applyAlignment="1">
      <alignment horizontal="center" vertical="center"/>
    </xf>
    <xf numFmtId="41" fontId="34" fillId="32" borderId="36" xfId="0" applyNumberFormat="1" applyFont="1" applyFill="1" applyBorder="1" applyAlignment="1">
      <alignment horizontal="center" vertical="center"/>
    </xf>
    <xf numFmtId="41" fontId="34" fillId="32" borderId="37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41" fontId="34" fillId="32" borderId="42" xfId="0" applyNumberFormat="1" applyFont="1" applyFill="1" applyBorder="1" applyAlignment="1">
      <alignment horizontal="center" vertical="center"/>
    </xf>
    <xf numFmtId="41" fontId="34" fillId="32" borderId="43" xfId="0" applyNumberFormat="1" applyFont="1" applyFill="1" applyBorder="1" applyAlignment="1">
      <alignment horizontal="center" vertical="center"/>
    </xf>
    <xf numFmtId="0" fontId="34" fillId="33" borderId="31" xfId="0" applyFont="1" applyFill="1" applyBorder="1" applyAlignment="1">
      <alignment horizontal="center" vertical="center" shrinkToFit="1"/>
    </xf>
    <xf numFmtId="0" fontId="34" fillId="33" borderId="32" xfId="0" applyFont="1" applyFill="1" applyBorder="1" applyAlignment="1">
      <alignment horizontal="center" vertical="center" shrinkToFit="1"/>
    </xf>
    <xf numFmtId="41" fontId="35" fillId="32" borderId="38" xfId="0" applyNumberFormat="1" applyFont="1" applyFill="1" applyBorder="1" applyAlignment="1">
      <alignment horizontal="center" vertical="center"/>
    </xf>
    <xf numFmtId="41" fontId="35" fillId="32" borderId="39" xfId="0" applyNumberFormat="1" applyFont="1" applyFill="1" applyBorder="1" applyAlignment="1">
      <alignment horizontal="center" vertical="center"/>
    </xf>
    <xf numFmtId="41" fontId="35" fillId="32" borderId="40" xfId="0" applyNumberFormat="1" applyFont="1" applyFill="1" applyBorder="1" applyAlignment="1">
      <alignment horizontal="center" vertical="center"/>
    </xf>
    <xf numFmtId="41" fontId="35" fillId="32" borderId="41" xfId="0" applyNumberFormat="1" applyFont="1" applyFill="1" applyBorder="1" applyAlignment="1">
      <alignment horizontal="center" vertical="center"/>
    </xf>
    <xf numFmtId="41" fontId="35" fillId="32" borderId="33" xfId="0" applyNumberFormat="1" applyFont="1" applyFill="1" applyBorder="1" applyAlignment="1">
      <alignment horizontal="center" vertical="center"/>
    </xf>
    <xf numFmtId="41" fontId="35" fillId="32" borderId="34" xfId="0" applyNumberFormat="1" applyFont="1" applyFill="1" applyBorder="1" applyAlignment="1">
      <alignment horizontal="center" vertical="center"/>
    </xf>
    <xf numFmtId="41" fontId="35" fillId="32" borderId="42" xfId="0" applyNumberFormat="1" applyFont="1" applyFill="1" applyBorder="1" applyAlignment="1">
      <alignment horizontal="center" vertical="center"/>
    </xf>
    <xf numFmtId="41" fontId="35" fillId="32" borderId="43" xfId="0" applyNumberFormat="1" applyFont="1" applyFill="1" applyBorder="1" applyAlignment="1">
      <alignment horizontal="center" vertical="center"/>
    </xf>
    <xf numFmtId="0" fontId="35" fillId="32" borderId="44" xfId="0" applyFont="1" applyFill="1" applyBorder="1" applyAlignment="1">
      <alignment horizontal="center" vertical="center"/>
    </xf>
    <xf numFmtId="0" fontId="35" fillId="32" borderId="45" xfId="0" applyFont="1" applyFill="1" applyBorder="1" applyAlignment="1">
      <alignment horizontal="center" vertical="center"/>
    </xf>
    <xf numFmtId="0" fontId="35" fillId="32" borderId="46" xfId="0" applyFont="1" applyFill="1" applyBorder="1" applyAlignment="1">
      <alignment horizontal="center" vertical="center"/>
    </xf>
    <xf numFmtId="41" fontId="35" fillId="32" borderId="29" xfId="0" applyNumberFormat="1" applyFont="1" applyFill="1" applyBorder="1" applyAlignment="1">
      <alignment horizontal="center" vertical="center" wrapText="1"/>
    </xf>
    <xf numFmtId="41" fontId="35" fillId="32" borderId="30" xfId="0" applyNumberFormat="1" applyFont="1" applyFill="1" applyBorder="1" applyAlignment="1">
      <alignment horizontal="center" vertical="center" wrapText="1"/>
    </xf>
    <xf numFmtId="41" fontId="35" fillId="32" borderId="21" xfId="0" applyNumberFormat="1" applyFont="1" applyFill="1" applyBorder="1" applyAlignment="1">
      <alignment horizontal="center" vertical="center" wrapText="1"/>
    </xf>
    <xf numFmtId="41" fontId="35" fillId="32" borderId="29" xfId="0" applyNumberFormat="1" applyFont="1" applyFill="1" applyBorder="1" applyAlignment="1">
      <alignment horizontal="center" vertical="center"/>
    </xf>
    <xf numFmtId="41" fontId="35" fillId="32" borderId="30" xfId="0" applyNumberFormat="1" applyFont="1" applyFill="1" applyBorder="1" applyAlignment="1">
      <alignment horizontal="center" vertical="center"/>
    </xf>
    <xf numFmtId="41" fontId="35" fillId="32" borderId="21" xfId="0" applyNumberFormat="1" applyFont="1" applyFill="1" applyBorder="1" applyAlignment="1">
      <alignment horizontal="center" vertical="center"/>
    </xf>
    <xf numFmtId="41" fontId="35" fillId="32" borderId="35" xfId="0" applyNumberFormat="1" applyFont="1" applyFill="1" applyBorder="1" applyAlignment="1">
      <alignment horizontal="center" vertical="center"/>
    </xf>
    <xf numFmtId="41" fontId="35" fillId="32" borderId="36" xfId="0" applyNumberFormat="1" applyFont="1" applyFill="1" applyBorder="1" applyAlignment="1">
      <alignment horizontal="center" vertical="center"/>
    </xf>
    <xf numFmtId="41" fontId="35" fillId="32" borderId="37" xfId="0" applyNumberFormat="1" applyFont="1" applyFill="1" applyBorder="1" applyAlignment="1">
      <alignment horizontal="center" vertical="center"/>
    </xf>
    <xf numFmtId="41" fontId="33" fillId="32" borderId="33" xfId="0" applyNumberFormat="1" applyFont="1" applyFill="1" applyBorder="1" applyAlignment="1">
      <alignment horizontal="center" vertical="center"/>
    </xf>
    <xf numFmtId="41" fontId="33" fillId="32" borderId="34" xfId="0" applyNumberFormat="1" applyFont="1" applyFill="1" applyBorder="1" applyAlignment="1">
      <alignment horizontal="center" vertical="center"/>
    </xf>
  </cellXfs>
  <cellStyles count="60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뷭?_BOOKSHIP" xfId="30"/>
    <cellStyle name="설명 텍스트" xfId="31" builtinId="53" customBuiltin="1"/>
    <cellStyle name="셀 확인" xfId="32" builtinId="23" customBuiltin="1"/>
    <cellStyle name="쉼표 [0]" xfId="33" builtinId="6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1202" xfId="44"/>
    <cellStyle name="콤마_1202" xfId="45"/>
    <cellStyle name="표준" xfId="0" builtinId="0"/>
    <cellStyle name="표준 2" xfId="46"/>
    <cellStyle name="표준_kc-elec system check list" xfId="47"/>
    <cellStyle name="AeE­ [0]_INQUIRY ¿μ¾÷AßAø " xfId="48"/>
    <cellStyle name="AeE­_INQUIRY ¿μ¾÷AßAø " xfId="49"/>
    <cellStyle name="AÞ¸¶ [0]_INQUIRY ¿μ¾÷AßAø " xfId="50"/>
    <cellStyle name="AÞ¸¶_INQUIRY ¿μ¾÷AßAø " xfId="51"/>
    <cellStyle name="C￥AØ_¿μ¾÷CoE² " xfId="52"/>
    <cellStyle name="Comma [0]_ SG&amp;A Bridge " xfId="53"/>
    <cellStyle name="Comma_ SG&amp;A Bridge " xfId="54"/>
    <cellStyle name="Currency [0]_ SG&amp;A Bridge " xfId="55"/>
    <cellStyle name="Currency_ SG&amp;A Bridge " xfId="56"/>
    <cellStyle name="Header1" xfId="57"/>
    <cellStyle name="Header2" xfId="58"/>
    <cellStyle name="Normal_ SG&amp;A Bridge 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7"/>
  <sheetViews>
    <sheetView zoomScaleSheetLayoutView="70" workbookViewId="0">
      <pane xSplit="2" ySplit="5" topLeftCell="C6" activePane="bottomRight" state="frozen"/>
      <selection activeCell="T14" sqref="T14"/>
      <selection pane="topRight" activeCell="T14" sqref="T14"/>
      <selection pane="bottomLeft" activeCell="T14" sqref="T14"/>
      <selection pane="bottomRight" activeCell="E20" sqref="E20"/>
    </sheetView>
  </sheetViews>
  <sheetFormatPr defaultRowHeight="13.5"/>
  <cols>
    <col min="1" max="1" width="7.21875" style="1" customWidth="1"/>
    <col min="2" max="2" width="5.77734375" style="4" customWidth="1"/>
    <col min="3" max="4" width="7.21875" style="4" customWidth="1"/>
    <col min="5" max="5" width="6" style="31" customWidth="1"/>
    <col min="6" max="6" width="7.21875" style="4" customWidth="1"/>
    <col min="7" max="7" width="7.21875" style="31" customWidth="1"/>
    <col min="8" max="19" width="7.21875" style="4" customWidth="1"/>
    <col min="20" max="16384" width="8.88671875" style="86"/>
  </cols>
  <sheetData>
    <row r="1" spans="1:19" ht="27">
      <c r="A1" s="146" t="s">
        <v>44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pans="1:19" ht="16.5">
      <c r="A2" s="42"/>
      <c r="S2" s="24" t="s">
        <v>87</v>
      </c>
    </row>
    <row r="3" spans="1:19" s="80" customFormat="1" ht="19.149999999999999" customHeight="1">
      <c r="A3" s="126" t="s">
        <v>41</v>
      </c>
      <c r="B3" s="135" t="s">
        <v>89</v>
      </c>
      <c r="C3" s="138" t="s">
        <v>1</v>
      </c>
      <c r="D3" s="131" t="s">
        <v>4</v>
      </c>
      <c r="E3" s="132"/>
      <c r="F3" s="143" t="s">
        <v>37</v>
      </c>
      <c r="G3" s="144"/>
      <c r="H3" s="144"/>
      <c r="I3" s="144"/>
      <c r="J3" s="144"/>
      <c r="K3" s="144"/>
      <c r="L3" s="144"/>
      <c r="M3" s="144"/>
      <c r="N3" s="144"/>
      <c r="O3" s="145"/>
      <c r="P3" s="131" t="s">
        <v>38</v>
      </c>
      <c r="Q3" s="132"/>
      <c r="R3" s="131" t="s">
        <v>6</v>
      </c>
      <c r="S3" s="147"/>
    </row>
    <row r="4" spans="1:19" s="80" customFormat="1" ht="19.149999999999999" customHeight="1">
      <c r="A4" s="127"/>
      <c r="B4" s="136"/>
      <c r="C4" s="139"/>
      <c r="D4" s="133"/>
      <c r="E4" s="134"/>
      <c r="F4" s="129" t="s">
        <v>62</v>
      </c>
      <c r="G4" s="130"/>
      <c r="H4" s="129" t="s">
        <v>63</v>
      </c>
      <c r="I4" s="130"/>
      <c r="J4" s="129" t="s">
        <v>64</v>
      </c>
      <c r="K4" s="130"/>
      <c r="L4" s="129" t="s">
        <v>65</v>
      </c>
      <c r="M4" s="130"/>
      <c r="N4" s="129" t="s">
        <v>5</v>
      </c>
      <c r="O4" s="130"/>
      <c r="P4" s="133"/>
      <c r="Q4" s="134"/>
      <c r="R4" s="133"/>
      <c r="S4" s="148"/>
    </row>
    <row r="5" spans="1:19" s="80" customFormat="1" ht="19.149999999999999" customHeight="1">
      <c r="A5" s="128"/>
      <c r="B5" s="137"/>
      <c r="C5" s="140"/>
      <c r="D5" s="73"/>
      <c r="E5" s="74" t="s">
        <v>3</v>
      </c>
      <c r="F5" s="40" t="s">
        <v>57</v>
      </c>
      <c r="G5" s="74" t="s">
        <v>3</v>
      </c>
      <c r="H5" s="40" t="s">
        <v>66</v>
      </c>
      <c r="I5" s="75" t="s">
        <v>3</v>
      </c>
      <c r="J5" s="40" t="s">
        <v>67</v>
      </c>
      <c r="K5" s="75" t="s">
        <v>3</v>
      </c>
      <c r="L5" s="40" t="s">
        <v>68</v>
      </c>
      <c r="M5" s="75" t="s">
        <v>3</v>
      </c>
      <c r="N5" s="73"/>
      <c r="O5" s="75" t="s">
        <v>3</v>
      </c>
      <c r="P5" s="73"/>
      <c r="Q5" s="75" t="s">
        <v>3</v>
      </c>
      <c r="R5" s="73"/>
      <c r="S5" s="76" t="s">
        <v>3</v>
      </c>
    </row>
    <row r="6" spans="1:19" s="91" customFormat="1" ht="23.25" customHeight="1">
      <c r="A6" s="44" t="s">
        <v>91</v>
      </c>
      <c r="B6" s="29">
        <f>SUM(B8,B9)</f>
        <v>40</v>
      </c>
      <c r="C6" s="53">
        <f>SUM(C7:C9)</f>
        <v>85998</v>
      </c>
      <c r="D6" s="53">
        <f>SUM(D7:D9)</f>
        <v>54615</v>
      </c>
      <c r="E6" s="37">
        <f>D6/C6%</f>
        <v>63.507290867229472</v>
      </c>
      <c r="F6" s="53">
        <f>SUM(F7:F9)</f>
        <v>40283</v>
      </c>
      <c r="G6" s="37">
        <f>F6/N6%</f>
        <v>77.29636381080303</v>
      </c>
      <c r="H6" s="53">
        <f>SUM(H7:H9)</f>
        <v>7044</v>
      </c>
      <c r="I6" s="37">
        <f>H6/N6%</f>
        <v>13.516262112635518</v>
      </c>
      <c r="J6" s="53">
        <f>SUM(J7:J9)</f>
        <v>1243</v>
      </c>
      <c r="K6" s="37">
        <f>J6/N6%</f>
        <v>2.385109853209249</v>
      </c>
      <c r="L6" s="53">
        <f>SUM(L7:L9)</f>
        <v>3545</v>
      </c>
      <c r="M6" s="37">
        <f>L6/N6%</f>
        <v>6.8022642233522026</v>
      </c>
      <c r="N6" s="53">
        <f>SUM(N7:N9)</f>
        <v>52115</v>
      </c>
      <c r="O6" s="37">
        <f>N6/D6%</f>
        <v>95.422502975373064</v>
      </c>
      <c r="P6" s="53">
        <f>SUM(P7:P9)</f>
        <v>2536</v>
      </c>
      <c r="Q6" s="37">
        <f>P6/D6%</f>
        <v>4.6434129817815624</v>
      </c>
      <c r="R6" s="53">
        <f>SUM(R7:R9)</f>
        <v>31347</v>
      </c>
      <c r="S6" s="45">
        <f>R6/C6%</f>
        <v>36.45084769413242</v>
      </c>
    </row>
    <row r="7" spans="1:19" s="91" customFormat="1" ht="23.25" customHeight="1">
      <c r="A7" s="46" t="s">
        <v>92</v>
      </c>
      <c r="B7" s="69"/>
      <c r="C7" s="70">
        <v>11519</v>
      </c>
      <c r="D7" s="70">
        <v>11503</v>
      </c>
      <c r="E7" s="25">
        <f>D7/C7%</f>
        <v>99.861099053737306</v>
      </c>
      <c r="F7" s="70">
        <v>7987</v>
      </c>
      <c r="G7" s="25">
        <f>F7/E7%</f>
        <v>7998.1094497087715</v>
      </c>
      <c r="H7" s="70">
        <v>2061</v>
      </c>
      <c r="I7" s="25">
        <f>H7/N7%</f>
        <v>18.916934373565855</v>
      </c>
      <c r="J7" s="70">
        <v>244</v>
      </c>
      <c r="K7" s="25">
        <f>J7/N7%</f>
        <v>2.23955943093162</v>
      </c>
      <c r="L7" s="70">
        <v>603</v>
      </c>
      <c r="M7" s="25">
        <f>L7/N7%</f>
        <v>5.534648921523635</v>
      </c>
      <c r="N7" s="27">
        <f>F7+H7+J7+L7</f>
        <v>10895</v>
      </c>
      <c r="O7" s="25">
        <f>N7/D7%</f>
        <v>94.714422324610965</v>
      </c>
      <c r="P7" s="70">
        <f>D7-N7</f>
        <v>608</v>
      </c>
      <c r="Q7" s="25">
        <f>P7/D7%</f>
        <v>5.2855776753890291</v>
      </c>
      <c r="R7" s="35">
        <v>16</v>
      </c>
      <c r="S7" s="47">
        <f>R7/C7%</f>
        <v>0.13890094626269642</v>
      </c>
    </row>
    <row r="8" spans="1:19" s="91" customFormat="1" ht="23.25" customHeight="1">
      <c r="A8" s="46" t="s">
        <v>93</v>
      </c>
      <c r="B8" s="26"/>
      <c r="C8" s="71">
        <v>531</v>
      </c>
      <c r="D8" s="70">
        <v>501</v>
      </c>
      <c r="E8" s="25">
        <f>D8/C8%</f>
        <v>94.350282485875709</v>
      </c>
      <c r="F8" s="27">
        <v>310</v>
      </c>
      <c r="G8" s="25">
        <f>F8/E8%</f>
        <v>328.56287425149696</v>
      </c>
      <c r="H8" s="27">
        <v>64</v>
      </c>
      <c r="I8" s="25">
        <f t="shared" ref="I8:I26" si="0">H8/N8%</f>
        <v>14.611872146118722</v>
      </c>
      <c r="J8" s="27">
        <v>36</v>
      </c>
      <c r="K8" s="25">
        <f>J8/N8%</f>
        <v>8.2191780821917817</v>
      </c>
      <c r="L8" s="27">
        <v>28</v>
      </c>
      <c r="M8" s="25">
        <f>L8/N8%</f>
        <v>6.3926940639269407</v>
      </c>
      <c r="N8" s="27">
        <f>F8+H8+J8+L8</f>
        <v>438</v>
      </c>
      <c r="O8" s="25">
        <f>N8/D8%</f>
        <v>87.425149700598809</v>
      </c>
      <c r="P8" s="70">
        <f>D8-N8</f>
        <v>63</v>
      </c>
      <c r="Q8" s="25">
        <f>P8/D8%</f>
        <v>12.574850299401199</v>
      </c>
      <c r="R8" s="35">
        <f>C8-D8</f>
        <v>30</v>
      </c>
      <c r="S8" s="47">
        <f>R8/C8%</f>
        <v>5.6497175141242941</v>
      </c>
    </row>
    <row r="9" spans="1:19" s="91" customFormat="1" ht="23.25" customHeight="1">
      <c r="A9" s="44" t="s">
        <v>94</v>
      </c>
      <c r="B9" s="29">
        <f>SUM(B10,B11,B12,B13,B14,B15,B16,B17,B18,B19,B20,B21,B22,B23,B24,B25)</f>
        <v>40</v>
      </c>
      <c r="C9" s="53">
        <f>SUM(C10:C26)</f>
        <v>73948</v>
      </c>
      <c r="D9" s="53">
        <f>SUM(D10:D25)</f>
        <v>42611</v>
      </c>
      <c r="E9" s="37">
        <f>D9/C9%</f>
        <v>57.622924217017363</v>
      </c>
      <c r="F9" s="53">
        <f>SUM(F10:F26)</f>
        <v>31986</v>
      </c>
      <c r="G9" s="37">
        <f>F9/$N9*100</f>
        <v>78.431661026923635</v>
      </c>
      <c r="H9" s="53">
        <f>SUM(H10:H26)</f>
        <v>4919</v>
      </c>
      <c r="I9" s="37">
        <f>H9/N9%</f>
        <v>12.061693884556913</v>
      </c>
      <c r="J9" s="53">
        <f>SUM(J10:J26)</f>
        <v>963</v>
      </c>
      <c r="K9" s="37">
        <f>J9/N9%</f>
        <v>2.3613358834780049</v>
      </c>
      <c r="L9" s="53">
        <f>SUM(L10:L26)</f>
        <v>2914</v>
      </c>
      <c r="M9" s="37">
        <f>L9/$N9*100</f>
        <v>7.1453092050414408</v>
      </c>
      <c r="N9" s="53">
        <f>SUM(N10:N26)</f>
        <v>40782</v>
      </c>
      <c r="O9" s="37">
        <f>N9/D9%</f>
        <v>95.707681115204991</v>
      </c>
      <c r="P9" s="53">
        <f>SUM(P10:P26)</f>
        <v>1865</v>
      </c>
      <c r="Q9" s="37">
        <f>P9/$D9*100</f>
        <v>4.3768041116143719</v>
      </c>
      <c r="R9" s="53">
        <f>SUM(R10:R26)</f>
        <v>31301</v>
      </c>
      <c r="S9" s="45">
        <f>R9/C9%</f>
        <v>42.328392924757935</v>
      </c>
    </row>
    <row r="10" spans="1:19" s="91" customFormat="1" ht="23.25" customHeight="1">
      <c r="A10" s="46" t="s">
        <v>95</v>
      </c>
      <c r="B10" s="48">
        <v>6</v>
      </c>
      <c r="C10" s="72">
        <v>9500</v>
      </c>
      <c r="D10" s="55">
        <v>5088</v>
      </c>
      <c r="E10" s="25">
        <f t="shared" ref="E10:E25" si="1">D10/C10%</f>
        <v>53.557894736842108</v>
      </c>
      <c r="F10" s="55">
        <v>3962</v>
      </c>
      <c r="G10" s="25">
        <f>F10/N10%</f>
        <v>81.405383192931993</v>
      </c>
      <c r="H10" s="55">
        <v>503</v>
      </c>
      <c r="I10" s="25">
        <f t="shared" si="0"/>
        <v>10.334908567906307</v>
      </c>
      <c r="J10" s="55">
        <v>141</v>
      </c>
      <c r="K10" s="25">
        <f t="shared" ref="K10:K26" si="2">J10/N10%</f>
        <v>2.8970618450791039</v>
      </c>
      <c r="L10" s="55">
        <v>261</v>
      </c>
      <c r="M10" s="25">
        <f t="shared" ref="M10:M26" si="3">L10/N10%</f>
        <v>5.3626463940825966</v>
      </c>
      <c r="N10" s="27">
        <f>F10+H10+J10+L10</f>
        <v>4867</v>
      </c>
      <c r="O10" s="25">
        <f t="shared" ref="O10:O26" si="4">N10/D10%</f>
        <v>95.656446540880495</v>
      </c>
      <c r="P10" s="55">
        <f t="shared" ref="P10:P26" si="5">D10-N10</f>
        <v>221</v>
      </c>
      <c r="Q10" s="25">
        <f t="shared" ref="Q10:Q26" si="6">P10/D10%</f>
        <v>4.3435534591194962</v>
      </c>
      <c r="R10" s="55">
        <f>C10-D10</f>
        <v>4412</v>
      </c>
      <c r="S10" s="47">
        <f t="shared" ref="S10:S25" si="7">R10/C10%</f>
        <v>46.442105263157892</v>
      </c>
    </row>
    <row r="11" spans="1:19" s="91" customFormat="1" ht="23.25" customHeight="1">
      <c r="A11" s="46" t="s">
        <v>96</v>
      </c>
      <c r="B11" s="48">
        <v>2</v>
      </c>
      <c r="C11" s="72">
        <v>3532</v>
      </c>
      <c r="D11" s="55">
        <v>2093</v>
      </c>
      <c r="E11" s="25">
        <f t="shared" si="1"/>
        <v>59.25821064552661</v>
      </c>
      <c r="F11" s="55">
        <v>1664</v>
      </c>
      <c r="G11" s="25">
        <f t="shared" ref="G11:G24" si="8">F11/N11%</f>
        <v>83.241620810405209</v>
      </c>
      <c r="H11" s="55">
        <v>183</v>
      </c>
      <c r="I11" s="25">
        <f t="shared" si="0"/>
        <v>9.1545772886443224</v>
      </c>
      <c r="J11" s="55">
        <v>36</v>
      </c>
      <c r="K11" s="25">
        <f t="shared" si="2"/>
        <v>1.8009004502251127</v>
      </c>
      <c r="L11" s="55">
        <v>116</v>
      </c>
      <c r="M11" s="25">
        <f t="shared" si="3"/>
        <v>5.8029014507253631</v>
      </c>
      <c r="N11" s="27">
        <f t="shared" ref="N11:N26" si="9">F11+H11+J11+L11</f>
        <v>1999</v>
      </c>
      <c r="O11" s="25">
        <f t="shared" si="4"/>
        <v>95.508838987099864</v>
      </c>
      <c r="P11" s="55">
        <f t="shared" si="5"/>
        <v>94</v>
      </c>
      <c r="Q11" s="25">
        <f t="shared" si="6"/>
        <v>4.4911610129001431</v>
      </c>
      <c r="R11" s="55">
        <f t="shared" ref="R11:R24" si="10">C11-D11</f>
        <v>1439</v>
      </c>
      <c r="S11" s="47">
        <f t="shared" si="7"/>
        <v>40.741789354473383</v>
      </c>
    </row>
    <row r="12" spans="1:19" s="91" customFormat="1" ht="23.25" customHeight="1">
      <c r="A12" s="46" t="s">
        <v>97</v>
      </c>
      <c r="B12" s="48">
        <v>2</v>
      </c>
      <c r="C12" s="72">
        <v>3079</v>
      </c>
      <c r="D12" s="55">
        <v>1793</v>
      </c>
      <c r="E12" s="25">
        <f t="shared" si="1"/>
        <v>58.233192594998378</v>
      </c>
      <c r="F12" s="55">
        <v>1374</v>
      </c>
      <c r="G12" s="25">
        <f t="shared" si="8"/>
        <v>81.061946902654867</v>
      </c>
      <c r="H12" s="55">
        <v>169</v>
      </c>
      <c r="I12" s="25">
        <f t="shared" si="0"/>
        <v>9.9705014749262535</v>
      </c>
      <c r="J12" s="55">
        <v>46</v>
      </c>
      <c r="K12" s="25">
        <f t="shared" si="2"/>
        <v>2.7138643067846608</v>
      </c>
      <c r="L12" s="55">
        <v>106</v>
      </c>
      <c r="M12" s="25">
        <f t="shared" si="3"/>
        <v>6.2536873156342185</v>
      </c>
      <c r="N12" s="27">
        <f t="shared" si="9"/>
        <v>1695</v>
      </c>
      <c r="O12" s="25">
        <f t="shared" si="4"/>
        <v>94.534300055772448</v>
      </c>
      <c r="P12" s="55">
        <f t="shared" si="5"/>
        <v>98</v>
      </c>
      <c r="Q12" s="25">
        <f t="shared" si="6"/>
        <v>5.465699944227552</v>
      </c>
      <c r="R12" s="55">
        <f t="shared" si="10"/>
        <v>1286</v>
      </c>
      <c r="S12" s="47">
        <f t="shared" si="7"/>
        <v>41.766807405001622</v>
      </c>
    </row>
    <row r="13" spans="1:19" s="91" customFormat="1" ht="23.25" customHeight="1">
      <c r="A13" s="46" t="s">
        <v>98</v>
      </c>
      <c r="B13" s="48">
        <v>2</v>
      </c>
      <c r="C13" s="72">
        <v>2600</v>
      </c>
      <c r="D13" s="55">
        <v>1477</v>
      </c>
      <c r="E13" s="25">
        <f t="shared" si="1"/>
        <v>56.807692307692307</v>
      </c>
      <c r="F13" s="55">
        <v>1085</v>
      </c>
      <c r="G13" s="25">
        <f t="shared" si="8"/>
        <v>77.777777777777786</v>
      </c>
      <c r="H13" s="55">
        <v>158</v>
      </c>
      <c r="I13" s="25">
        <f t="shared" si="0"/>
        <v>11.326164874551973</v>
      </c>
      <c r="J13" s="55">
        <v>47</v>
      </c>
      <c r="K13" s="25">
        <f t="shared" si="2"/>
        <v>3.3691756272401436</v>
      </c>
      <c r="L13" s="55">
        <v>105</v>
      </c>
      <c r="M13" s="25">
        <f t="shared" si="3"/>
        <v>7.5268817204301079</v>
      </c>
      <c r="N13" s="27">
        <f t="shared" si="9"/>
        <v>1395</v>
      </c>
      <c r="O13" s="25">
        <f t="shared" si="4"/>
        <v>94.448205822613403</v>
      </c>
      <c r="P13" s="55">
        <f t="shared" si="5"/>
        <v>82</v>
      </c>
      <c r="Q13" s="25">
        <f t="shared" si="6"/>
        <v>5.5517941773865944</v>
      </c>
      <c r="R13" s="55">
        <f t="shared" si="10"/>
        <v>1123</v>
      </c>
      <c r="S13" s="47">
        <f t="shared" si="7"/>
        <v>43.192307692307693</v>
      </c>
    </row>
    <row r="14" spans="1:19" s="91" customFormat="1" ht="23.25" customHeight="1">
      <c r="A14" s="46" t="s">
        <v>99</v>
      </c>
      <c r="B14" s="48">
        <v>1</v>
      </c>
      <c r="C14" s="72">
        <v>1807</v>
      </c>
      <c r="D14" s="55">
        <v>1137</v>
      </c>
      <c r="E14" s="25">
        <f t="shared" si="1"/>
        <v>62.921970116214716</v>
      </c>
      <c r="F14" s="55">
        <v>861</v>
      </c>
      <c r="G14" s="25">
        <f t="shared" si="8"/>
        <v>79.574861367837343</v>
      </c>
      <c r="H14" s="55">
        <v>108</v>
      </c>
      <c r="I14" s="25">
        <f t="shared" si="0"/>
        <v>9.9815157116451019</v>
      </c>
      <c r="J14" s="55">
        <v>16</v>
      </c>
      <c r="K14" s="25">
        <f t="shared" si="2"/>
        <v>1.478743068391867</v>
      </c>
      <c r="L14" s="55">
        <v>97</v>
      </c>
      <c r="M14" s="25">
        <f t="shared" si="3"/>
        <v>8.9648798521256925</v>
      </c>
      <c r="N14" s="27">
        <f t="shared" si="9"/>
        <v>1082</v>
      </c>
      <c r="O14" s="25">
        <f t="shared" si="4"/>
        <v>95.162708883025516</v>
      </c>
      <c r="P14" s="55">
        <f t="shared" si="5"/>
        <v>55</v>
      </c>
      <c r="Q14" s="25">
        <f t="shared" si="6"/>
        <v>4.8372911169744945</v>
      </c>
      <c r="R14" s="55">
        <f t="shared" si="10"/>
        <v>670</v>
      </c>
      <c r="S14" s="47">
        <f t="shared" si="7"/>
        <v>37.078029883785277</v>
      </c>
    </row>
    <row r="15" spans="1:19" s="91" customFormat="1" ht="23.25" customHeight="1">
      <c r="A15" s="46" t="s">
        <v>100</v>
      </c>
      <c r="B15" s="48">
        <v>2</v>
      </c>
      <c r="C15" s="72">
        <v>2329</v>
      </c>
      <c r="D15" s="55">
        <v>1469</v>
      </c>
      <c r="E15" s="25">
        <f t="shared" si="1"/>
        <v>63.074280807213398</v>
      </c>
      <c r="F15" s="55">
        <v>1093</v>
      </c>
      <c r="G15" s="25">
        <f t="shared" si="8"/>
        <v>79.664723032069972</v>
      </c>
      <c r="H15" s="55">
        <v>142</v>
      </c>
      <c r="I15" s="25">
        <f t="shared" si="0"/>
        <v>10.349854227405247</v>
      </c>
      <c r="J15" s="55">
        <v>29</v>
      </c>
      <c r="K15" s="25">
        <f t="shared" si="2"/>
        <v>2.1137026239067054</v>
      </c>
      <c r="L15" s="55">
        <v>108</v>
      </c>
      <c r="M15" s="25">
        <f t="shared" si="3"/>
        <v>7.871720116618075</v>
      </c>
      <c r="N15" s="27">
        <f t="shared" si="9"/>
        <v>1372</v>
      </c>
      <c r="O15" s="25">
        <f t="shared" si="4"/>
        <v>93.396868618107561</v>
      </c>
      <c r="P15" s="55">
        <f t="shared" si="5"/>
        <v>97</v>
      </c>
      <c r="Q15" s="25">
        <f t="shared" si="6"/>
        <v>6.6031313818924442</v>
      </c>
      <c r="R15" s="55">
        <f t="shared" si="10"/>
        <v>860</v>
      </c>
      <c r="S15" s="47">
        <f t="shared" si="7"/>
        <v>36.925719192786602</v>
      </c>
    </row>
    <row r="16" spans="1:19" s="91" customFormat="1" ht="23.25" customHeight="1">
      <c r="A16" s="46" t="s">
        <v>101</v>
      </c>
      <c r="B16" s="48">
        <v>1</v>
      </c>
      <c r="C16" s="72">
        <v>858</v>
      </c>
      <c r="D16" s="55">
        <v>550</v>
      </c>
      <c r="E16" s="25">
        <f t="shared" si="1"/>
        <v>64.102564102564102</v>
      </c>
      <c r="F16" s="55">
        <v>400</v>
      </c>
      <c r="G16" s="25">
        <f t="shared" si="8"/>
        <v>77.669902912621353</v>
      </c>
      <c r="H16" s="55">
        <v>48</v>
      </c>
      <c r="I16" s="25">
        <f t="shared" si="0"/>
        <v>9.3203883495145625</v>
      </c>
      <c r="J16" s="55">
        <v>14</v>
      </c>
      <c r="K16" s="25">
        <f t="shared" si="2"/>
        <v>2.7184466019417473</v>
      </c>
      <c r="L16" s="55">
        <v>53</v>
      </c>
      <c r="M16" s="25">
        <f t="shared" si="3"/>
        <v>10.291262135922329</v>
      </c>
      <c r="N16" s="27">
        <f t="shared" si="9"/>
        <v>515</v>
      </c>
      <c r="O16" s="25">
        <f t="shared" si="4"/>
        <v>93.63636363636364</v>
      </c>
      <c r="P16" s="55">
        <f t="shared" si="5"/>
        <v>35</v>
      </c>
      <c r="Q16" s="25">
        <f t="shared" si="6"/>
        <v>6.3636363636363633</v>
      </c>
      <c r="R16" s="55">
        <f t="shared" si="10"/>
        <v>308</v>
      </c>
      <c r="S16" s="47">
        <f t="shared" si="7"/>
        <v>35.897435897435898</v>
      </c>
    </row>
    <row r="17" spans="1:19" s="91" customFormat="1" ht="23.25" customHeight="1">
      <c r="A17" s="46" t="s">
        <v>102</v>
      </c>
      <c r="B17" s="48">
        <v>3</v>
      </c>
      <c r="C17" s="72">
        <v>3617</v>
      </c>
      <c r="D17" s="55">
        <v>2354</v>
      </c>
      <c r="E17" s="25">
        <f t="shared" si="1"/>
        <v>65.081559303290021</v>
      </c>
      <c r="F17" s="55">
        <v>1751</v>
      </c>
      <c r="G17" s="25">
        <f t="shared" si="8"/>
        <v>78.309481216457968</v>
      </c>
      <c r="H17" s="55">
        <v>223</v>
      </c>
      <c r="I17" s="25">
        <f t="shared" si="0"/>
        <v>9.9731663685152068</v>
      </c>
      <c r="J17" s="55">
        <v>34</v>
      </c>
      <c r="K17" s="25">
        <f t="shared" si="2"/>
        <v>1.5205724508050089</v>
      </c>
      <c r="L17" s="55">
        <v>228</v>
      </c>
      <c r="M17" s="25">
        <f t="shared" si="3"/>
        <v>10.196779964221825</v>
      </c>
      <c r="N17" s="27">
        <f t="shared" si="9"/>
        <v>2236</v>
      </c>
      <c r="O17" s="25">
        <f t="shared" si="4"/>
        <v>94.987255734919287</v>
      </c>
      <c r="P17" s="55">
        <f t="shared" si="5"/>
        <v>118</v>
      </c>
      <c r="Q17" s="25">
        <f t="shared" si="6"/>
        <v>5.0127442650807135</v>
      </c>
      <c r="R17" s="55">
        <f t="shared" si="10"/>
        <v>1263</v>
      </c>
      <c r="S17" s="47">
        <f t="shared" si="7"/>
        <v>34.918440696709979</v>
      </c>
    </row>
    <row r="18" spans="1:19" s="91" customFormat="1" ht="23.25" customHeight="1">
      <c r="A18" s="46" t="s">
        <v>103</v>
      </c>
      <c r="B18" s="48">
        <v>3</v>
      </c>
      <c r="C18" s="72">
        <v>4672</v>
      </c>
      <c r="D18" s="55">
        <v>2866</v>
      </c>
      <c r="E18" s="25">
        <f t="shared" si="1"/>
        <v>61.344178082191782</v>
      </c>
      <c r="F18" s="55">
        <v>2077</v>
      </c>
      <c r="G18" s="25">
        <f t="shared" si="8"/>
        <v>76.248164464023503</v>
      </c>
      <c r="H18" s="55">
        <v>332</v>
      </c>
      <c r="I18" s="25">
        <f t="shared" si="0"/>
        <v>12.187958883994128</v>
      </c>
      <c r="J18" s="55">
        <v>58</v>
      </c>
      <c r="K18" s="25">
        <f t="shared" si="2"/>
        <v>2.1292217327459619</v>
      </c>
      <c r="L18" s="55">
        <v>257</v>
      </c>
      <c r="M18" s="25">
        <f t="shared" si="3"/>
        <v>9.4346549192364169</v>
      </c>
      <c r="N18" s="27">
        <f t="shared" si="9"/>
        <v>2724</v>
      </c>
      <c r="O18" s="25">
        <f t="shared" si="4"/>
        <v>95.045359385903694</v>
      </c>
      <c r="P18" s="55">
        <f t="shared" si="5"/>
        <v>142</v>
      </c>
      <c r="Q18" s="25">
        <f t="shared" si="6"/>
        <v>4.9546406140963013</v>
      </c>
      <c r="R18" s="55">
        <f t="shared" si="10"/>
        <v>1806</v>
      </c>
      <c r="S18" s="47">
        <f t="shared" si="7"/>
        <v>38.655821917808218</v>
      </c>
    </row>
    <row r="19" spans="1:19" s="91" customFormat="1" ht="23.25" customHeight="1">
      <c r="A19" s="46" t="s">
        <v>104</v>
      </c>
      <c r="B19" s="48">
        <v>2</v>
      </c>
      <c r="C19" s="72">
        <v>3506</v>
      </c>
      <c r="D19" s="55">
        <v>2110</v>
      </c>
      <c r="E19" s="25">
        <f t="shared" si="1"/>
        <v>60.182544209925837</v>
      </c>
      <c r="F19" s="55">
        <v>1601</v>
      </c>
      <c r="G19" s="25">
        <f t="shared" si="8"/>
        <v>80.05</v>
      </c>
      <c r="H19" s="55">
        <v>195</v>
      </c>
      <c r="I19" s="25">
        <f t="shared" si="0"/>
        <v>9.75</v>
      </c>
      <c r="J19" s="55">
        <v>30</v>
      </c>
      <c r="K19" s="25">
        <f t="shared" si="2"/>
        <v>1.5</v>
      </c>
      <c r="L19" s="55">
        <v>174</v>
      </c>
      <c r="M19" s="25">
        <f t="shared" si="3"/>
        <v>8.6999999999999993</v>
      </c>
      <c r="N19" s="27">
        <f t="shared" si="9"/>
        <v>2000</v>
      </c>
      <c r="O19" s="25">
        <f t="shared" si="4"/>
        <v>94.786729857819893</v>
      </c>
      <c r="P19" s="55">
        <f t="shared" si="5"/>
        <v>110</v>
      </c>
      <c r="Q19" s="25">
        <f t="shared" si="6"/>
        <v>5.2132701421800949</v>
      </c>
      <c r="R19" s="55">
        <f t="shared" si="10"/>
        <v>1396</v>
      </c>
      <c r="S19" s="47">
        <f t="shared" si="7"/>
        <v>39.817455790074156</v>
      </c>
    </row>
    <row r="20" spans="1:19" s="91" customFormat="1" ht="23.25" customHeight="1">
      <c r="A20" s="46" t="s">
        <v>105</v>
      </c>
      <c r="B20" s="48">
        <v>1</v>
      </c>
      <c r="C20" s="72">
        <v>2612</v>
      </c>
      <c r="D20" s="55">
        <v>1480</v>
      </c>
      <c r="E20" s="25">
        <f t="shared" si="1"/>
        <v>56.661562021439508</v>
      </c>
      <c r="F20" s="55">
        <v>1097</v>
      </c>
      <c r="G20" s="25">
        <f t="shared" si="8"/>
        <v>77.417078334509526</v>
      </c>
      <c r="H20" s="55">
        <v>162</v>
      </c>
      <c r="I20" s="25">
        <f t="shared" si="0"/>
        <v>11.432604093154552</v>
      </c>
      <c r="J20" s="55">
        <v>51</v>
      </c>
      <c r="K20" s="25">
        <f t="shared" si="2"/>
        <v>3.5991531404375441</v>
      </c>
      <c r="L20" s="55">
        <v>107</v>
      </c>
      <c r="M20" s="25">
        <f t="shared" si="3"/>
        <v>7.5511644318983766</v>
      </c>
      <c r="N20" s="27">
        <f t="shared" si="9"/>
        <v>1417</v>
      </c>
      <c r="O20" s="25">
        <f t="shared" si="4"/>
        <v>95.743243243243242</v>
      </c>
      <c r="P20" s="55">
        <f t="shared" si="5"/>
        <v>63</v>
      </c>
      <c r="Q20" s="25">
        <f t="shared" si="6"/>
        <v>4.2567567567567561</v>
      </c>
      <c r="R20" s="55">
        <f t="shared" si="10"/>
        <v>1132</v>
      </c>
      <c r="S20" s="47">
        <f t="shared" si="7"/>
        <v>43.338437978560485</v>
      </c>
    </row>
    <row r="21" spans="1:19" s="91" customFormat="1" ht="23.25" customHeight="1">
      <c r="A21" s="46" t="s">
        <v>106</v>
      </c>
      <c r="B21" s="48">
        <v>6</v>
      </c>
      <c r="C21" s="72">
        <v>18581</v>
      </c>
      <c r="D21" s="55">
        <v>10270</v>
      </c>
      <c r="E21" s="25">
        <f t="shared" si="1"/>
        <v>55.271513912060705</v>
      </c>
      <c r="F21" s="55">
        <v>7664</v>
      </c>
      <c r="G21" s="25">
        <f t="shared" si="8"/>
        <v>77.203586179107489</v>
      </c>
      <c r="H21" s="55">
        <v>1435</v>
      </c>
      <c r="I21" s="25">
        <f t="shared" si="0"/>
        <v>14.455525334945099</v>
      </c>
      <c r="J21" s="55">
        <v>247</v>
      </c>
      <c r="K21" s="25">
        <f t="shared" si="2"/>
        <v>2.4881635942379372</v>
      </c>
      <c r="L21" s="55">
        <v>581</v>
      </c>
      <c r="M21" s="25">
        <f t="shared" si="3"/>
        <v>5.8527248917094798</v>
      </c>
      <c r="N21" s="27">
        <f t="shared" si="9"/>
        <v>9927</v>
      </c>
      <c r="O21" s="25">
        <f t="shared" si="4"/>
        <v>96.6601752677702</v>
      </c>
      <c r="P21" s="55">
        <f t="shared" si="5"/>
        <v>343</v>
      </c>
      <c r="Q21" s="25">
        <f t="shared" si="6"/>
        <v>3.3398247322297956</v>
      </c>
      <c r="R21" s="55">
        <f t="shared" si="10"/>
        <v>8311</v>
      </c>
      <c r="S21" s="47">
        <f t="shared" si="7"/>
        <v>44.728486087939295</v>
      </c>
    </row>
    <row r="22" spans="1:19" s="91" customFormat="1" ht="23.25" customHeight="1">
      <c r="A22" s="46" t="s">
        <v>107</v>
      </c>
      <c r="B22" s="48">
        <v>3</v>
      </c>
      <c r="C22" s="72">
        <v>6791</v>
      </c>
      <c r="D22" s="55">
        <v>3878</v>
      </c>
      <c r="E22" s="25">
        <f t="shared" si="1"/>
        <v>57.104991901045501</v>
      </c>
      <c r="F22" s="55">
        <v>2878</v>
      </c>
      <c r="G22" s="25">
        <f t="shared" si="8"/>
        <v>76.849132176234974</v>
      </c>
      <c r="H22" s="55">
        <v>493</v>
      </c>
      <c r="I22" s="25">
        <f t="shared" si="0"/>
        <v>13.164218958611482</v>
      </c>
      <c r="J22" s="55">
        <v>99</v>
      </c>
      <c r="K22" s="25">
        <f t="shared" si="2"/>
        <v>2.6435246995994657</v>
      </c>
      <c r="L22" s="55">
        <v>275</v>
      </c>
      <c r="M22" s="25">
        <f t="shared" si="3"/>
        <v>7.3431241655540713</v>
      </c>
      <c r="N22" s="27">
        <f t="shared" si="9"/>
        <v>3745</v>
      </c>
      <c r="O22" s="25">
        <f t="shared" si="4"/>
        <v>96.570397111913351</v>
      </c>
      <c r="P22" s="55">
        <f t="shared" si="5"/>
        <v>133</v>
      </c>
      <c r="Q22" s="25">
        <f t="shared" si="6"/>
        <v>3.4296028880866425</v>
      </c>
      <c r="R22" s="55">
        <f t="shared" si="10"/>
        <v>2913</v>
      </c>
      <c r="S22" s="47">
        <f t="shared" si="7"/>
        <v>42.895008098954499</v>
      </c>
    </row>
    <row r="23" spans="1:19" s="91" customFormat="1" ht="23.25" customHeight="1">
      <c r="A23" s="46" t="s">
        <v>108</v>
      </c>
      <c r="B23" s="48">
        <v>2</v>
      </c>
      <c r="C23" s="72">
        <v>3991</v>
      </c>
      <c r="D23" s="55">
        <v>2347</v>
      </c>
      <c r="E23" s="25">
        <f t="shared" si="1"/>
        <v>58.807316462039594</v>
      </c>
      <c r="F23" s="55">
        <v>1747</v>
      </c>
      <c r="G23" s="25">
        <f t="shared" si="8"/>
        <v>77.198409191338939</v>
      </c>
      <c r="H23" s="55">
        <v>303</v>
      </c>
      <c r="I23" s="25">
        <f t="shared" si="0"/>
        <v>13.389306230667257</v>
      </c>
      <c r="J23" s="55">
        <v>49</v>
      </c>
      <c r="K23" s="25">
        <f t="shared" si="2"/>
        <v>2.1652673442333188</v>
      </c>
      <c r="L23" s="55">
        <v>164</v>
      </c>
      <c r="M23" s="25">
        <f t="shared" si="3"/>
        <v>7.247017233760495</v>
      </c>
      <c r="N23" s="27">
        <f t="shared" si="9"/>
        <v>2263</v>
      </c>
      <c r="O23" s="25">
        <f t="shared" si="4"/>
        <v>96.420962931401789</v>
      </c>
      <c r="P23" s="55">
        <f t="shared" si="5"/>
        <v>84</v>
      </c>
      <c r="Q23" s="25">
        <f t="shared" si="6"/>
        <v>3.5790370685982107</v>
      </c>
      <c r="R23" s="55">
        <f t="shared" si="10"/>
        <v>1644</v>
      </c>
      <c r="S23" s="47">
        <f t="shared" si="7"/>
        <v>41.192683537960413</v>
      </c>
    </row>
    <row r="24" spans="1:19" s="91" customFormat="1" ht="23.25" customHeight="1">
      <c r="A24" s="46" t="s">
        <v>109</v>
      </c>
      <c r="B24" s="48">
        <v>2</v>
      </c>
      <c r="C24" s="72">
        <v>3631</v>
      </c>
      <c r="D24" s="55">
        <v>2103</v>
      </c>
      <c r="E24" s="25">
        <f t="shared" si="1"/>
        <v>57.917928945194156</v>
      </c>
      <c r="F24" s="55">
        <v>1521</v>
      </c>
      <c r="G24" s="25">
        <f t="shared" si="8"/>
        <v>76.05</v>
      </c>
      <c r="H24" s="55">
        <v>265</v>
      </c>
      <c r="I24" s="25">
        <f t="shared" si="0"/>
        <v>13.25</v>
      </c>
      <c r="J24" s="55">
        <v>35</v>
      </c>
      <c r="K24" s="25">
        <f t="shared" si="2"/>
        <v>1.75</v>
      </c>
      <c r="L24" s="55">
        <v>179</v>
      </c>
      <c r="M24" s="25">
        <f t="shared" si="3"/>
        <v>8.9499999999999993</v>
      </c>
      <c r="N24" s="27">
        <f t="shared" si="9"/>
        <v>2000</v>
      </c>
      <c r="O24" s="25">
        <f t="shared" si="4"/>
        <v>95.102234902520209</v>
      </c>
      <c r="P24" s="55">
        <f t="shared" si="5"/>
        <v>103</v>
      </c>
      <c r="Q24" s="25">
        <f t="shared" si="6"/>
        <v>4.8977650974797902</v>
      </c>
      <c r="R24" s="55">
        <f t="shared" si="10"/>
        <v>1528</v>
      </c>
      <c r="S24" s="47">
        <f t="shared" si="7"/>
        <v>42.082071054805837</v>
      </c>
    </row>
    <row r="25" spans="1:19" s="91" customFormat="1" ht="23.25" customHeight="1">
      <c r="A25" s="103" t="s">
        <v>110</v>
      </c>
      <c r="B25" s="104">
        <v>2</v>
      </c>
      <c r="C25" s="105">
        <v>2842</v>
      </c>
      <c r="D25" s="106">
        <v>1596</v>
      </c>
      <c r="E25" s="107">
        <f t="shared" si="1"/>
        <v>56.157635467980292</v>
      </c>
      <c r="F25" s="106">
        <v>1189</v>
      </c>
      <c r="G25" s="107">
        <f>F25/N25%</f>
        <v>78.430079155672829</v>
      </c>
      <c r="H25" s="106">
        <v>195</v>
      </c>
      <c r="I25" s="107">
        <f t="shared" si="0"/>
        <v>12.862796833773087</v>
      </c>
      <c r="J25" s="106">
        <v>29</v>
      </c>
      <c r="K25" s="107">
        <f t="shared" si="2"/>
        <v>1.9129287598944591</v>
      </c>
      <c r="L25" s="106">
        <v>103</v>
      </c>
      <c r="M25" s="107">
        <f t="shared" si="3"/>
        <v>6.7941952506596301</v>
      </c>
      <c r="N25" s="108">
        <f t="shared" si="9"/>
        <v>1516</v>
      </c>
      <c r="O25" s="107">
        <f t="shared" si="4"/>
        <v>94.987468671679196</v>
      </c>
      <c r="P25" s="106">
        <f t="shared" si="5"/>
        <v>80</v>
      </c>
      <c r="Q25" s="107">
        <f t="shared" si="6"/>
        <v>5.0125313283208017</v>
      </c>
      <c r="R25" s="106">
        <f>C25-D25</f>
        <v>1246</v>
      </c>
      <c r="S25" s="109">
        <f t="shared" si="7"/>
        <v>43.842364532019701</v>
      </c>
    </row>
    <row r="26" spans="1:19" s="91" customFormat="1" ht="23.25" customHeight="1">
      <c r="A26" s="141" t="s">
        <v>111</v>
      </c>
      <c r="B26" s="142"/>
      <c r="C26" s="110"/>
      <c r="D26" s="111">
        <v>36</v>
      </c>
      <c r="E26" s="112">
        <f>D26/D6%</f>
        <v>6.5915957154627849E-2</v>
      </c>
      <c r="F26" s="111">
        <v>22</v>
      </c>
      <c r="G26" s="112">
        <f>F26/N26%</f>
        <v>75.862068965517253</v>
      </c>
      <c r="H26" s="111">
        <v>5</v>
      </c>
      <c r="I26" s="112">
        <f t="shared" si="0"/>
        <v>17.241379310344829</v>
      </c>
      <c r="J26" s="111">
        <v>2</v>
      </c>
      <c r="K26" s="112">
        <f t="shared" si="2"/>
        <v>6.8965517241379315</v>
      </c>
      <c r="L26" s="111">
        <v>0</v>
      </c>
      <c r="M26" s="112">
        <f t="shared" si="3"/>
        <v>0</v>
      </c>
      <c r="N26" s="113">
        <f t="shared" si="9"/>
        <v>29</v>
      </c>
      <c r="O26" s="112">
        <f t="shared" si="4"/>
        <v>80.555555555555557</v>
      </c>
      <c r="P26" s="111">
        <f t="shared" si="5"/>
        <v>7</v>
      </c>
      <c r="Q26" s="112">
        <f t="shared" si="6"/>
        <v>19.444444444444446</v>
      </c>
      <c r="R26" s="111">
        <v>-36</v>
      </c>
      <c r="S26" s="114"/>
    </row>
    <row r="27" spans="1:19" s="89" customFormat="1" ht="17.25" customHeight="1">
      <c r="A27" s="23"/>
      <c r="B27" s="6"/>
      <c r="C27" s="6"/>
      <c r="D27" s="6"/>
      <c r="E27" s="32"/>
      <c r="F27" s="6"/>
      <c r="G27" s="32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s="89" customFormat="1">
      <c r="A28" s="23"/>
      <c r="B28" s="6"/>
      <c r="C28" s="6"/>
      <c r="D28" s="6"/>
      <c r="E28" s="32"/>
      <c r="F28" s="6"/>
      <c r="G28" s="32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s="89" customFormat="1">
      <c r="A29" s="8"/>
      <c r="B29" s="6"/>
      <c r="C29" s="6"/>
      <c r="D29" s="6"/>
      <c r="E29" s="32"/>
      <c r="F29" s="6"/>
      <c r="G29" s="32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s="89" customFormat="1">
      <c r="A30" s="8"/>
      <c r="B30" s="6"/>
      <c r="C30" s="6"/>
      <c r="D30" s="6"/>
      <c r="E30" s="32"/>
      <c r="F30" s="6"/>
      <c r="G30" s="32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s="89" customFormat="1">
      <c r="A31" s="8"/>
      <c r="B31" s="6"/>
      <c r="C31" s="6"/>
      <c r="D31" s="6"/>
      <c r="E31" s="32"/>
      <c r="F31" s="6"/>
      <c r="G31" s="32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s="89" customFormat="1">
      <c r="A32" s="8"/>
      <c r="B32" s="6"/>
      <c r="C32" s="6"/>
      <c r="D32" s="6"/>
      <c r="E32" s="32"/>
      <c r="F32" s="6"/>
      <c r="G32" s="32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s="89" customFormat="1">
      <c r="A33" s="8"/>
      <c r="B33" s="6"/>
      <c r="C33" s="6"/>
      <c r="D33" s="6"/>
      <c r="E33" s="32"/>
      <c r="F33" s="6"/>
      <c r="G33" s="32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s="89" customFormat="1">
      <c r="A34" s="8"/>
      <c r="B34" s="6"/>
      <c r="C34" s="6"/>
      <c r="D34" s="6"/>
      <c r="E34" s="32"/>
      <c r="F34" s="6"/>
      <c r="G34" s="32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s="89" customFormat="1">
      <c r="A35" s="8"/>
      <c r="B35" s="6"/>
      <c r="C35" s="6"/>
      <c r="D35" s="6"/>
      <c r="E35" s="32"/>
      <c r="F35" s="6"/>
      <c r="G35" s="32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s="89" customFormat="1">
      <c r="A36" s="8"/>
      <c r="B36" s="6"/>
      <c r="C36" s="6"/>
      <c r="D36" s="6"/>
      <c r="E36" s="32"/>
      <c r="F36" s="6"/>
      <c r="G36" s="32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 s="89" customFormat="1">
      <c r="A37" s="8"/>
      <c r="B37" s="6"/>
      <c r="C37" s="6"/>
      <c r="D37" s="6"/>
      <c r="E37" s="32"/>
      <c r="F37" s="6"/>
      <c r="G37" s="32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 s="89" customFormat="1">
      <c r="A38" s="8"/>
      <c r="B38" s="6"/>
      <c r="C38" s="6"/>
      <c r="D38" s="6"/>
      <c r="E38" s="32"/>
      <c r="F38" s="6"/>
      <c r="G38" s="32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 s="89" customFormat="1">
      <c r="A39" s="8"/>
      <c r="B39" s="6"/>
      <c r="C39" s="6"/>
      <c r="D39" s="6"/>
      <c r="E39" s="32"/>
      <c r="F39" s="6"/>
      <c r="G39" s="32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 s="89" customFormat="1">
      <c r="A40" s="8"/>
      <c r="B40" s="6"/>
      <c r="C40" s="6"/>
      <c r="D40" s="6"/>
      <c r="E40" s="32"/>
      <c r="F40" s="6"/>
      <c r="G40" s="32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s="89" customFormat="1">
      <c r="A41" s="8"/>
      <c r="B41" s="6"/>
      <c r="C41" s="6"/>
      <c r="D41" s="6"/>
      <c r="E41" s="32"/>
      <c r="F41" s="6"/>
      <c r="G41" s="32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 s="89" customFormat="1">
      <c r="A42" s="8"/>
      <c r="B42" s="6"/>
      <c r="C42" s="6"/>
      <c r="D42" s="6"/>
      <c r="E42" s="32"/>
      <c r="F42" s="6"/>
      <c r="G42" s="32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 s="89" customFormat="1">
      <c r="A43" s="8"/>
      <c r="B43" s="6"/>
      <c r="C43" s="6"/>
      <c r="D43" s="6"/>
      <c r="E43" s="32"/>
      <c r="F43" s="6"/>
      <c r="G43" s="32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 s="89" customFormat="1">
      <c r="A44" s="8"/>
      <c r="B44" s="6"/>
      <c r="C44" s="6"/>
      <c r="D44" s="6"/>
      <c r="E44" s="32"/>
      <c r="F44" s="6"/>
      <c r="G44" s="32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s="89" customFormat="1">
      <c r="A45" s="8"/>
      <c r="B45" s="6"/>
      <c r="C45" s="6"/>
      <c r="D45" s="6"/>
      <c r="E45" s="32"/>
      <c r="F45" s="6"/>
      <c r="G45" s="32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s="89" customFormat="1">
      <c r="A46" s="8"/>
      <c r="B46" s="6"/>
      <c r="C46" s="6"/>
      <c r="D46" s="6"/>
      <c r="E46" s="32"/>
      <c r="F46" s="6"/>
      <c r="G46" s="32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 s="89" customFormat="1">
      <c r="A47" s="8"/>
      <c r="B47" s="6"/>
      <c r="C47" s="6"/>
      <c r="D47" s="6"/>
      <c r="E47" s="32"/>
      <c r="F47" s="6"/>
      <c r="G47" s="32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s="89" customFormat="1">
      <c r="A48" s="8"/>
      <c r="B48" s="6"/>
      <c r="C48" s="6"/>
      <c r="D48" s="6"/>
      <c r="E48" s="32"/>
      <c r="F48" s="6"/>
      <c r="G48" s="32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s="90" customFormat="1">
      <c r="A49" s="9"/>
      <c r="B49" s="7"/>
      <c r="C49" s="7"/>
      <c r="D49" s="7"/>
      <c r="E49" s="33"/>
      <c r="F49" s="7"/>
      <c r="G49" s="33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9" s="90" customFormat="1">
      <c r="A50" s="9"/>
      <c r="B50" s="7"/>
      <c r="C50" s="7"/>
      <c r="D50" s="7"/>
      <c r="E50" s="33"/>
      <c r="F50" s="7"/>
      <c r="G50" s="33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s="90" customFormat="1">
      <c r="A51" s="9"/>
      <c r="B51" s="7"/>
      <c r="C51" s="7"/>
      <c r="D51" s="7"/>
      <c r="E51" s="33"/>
      <c r="F51" s="7"/>
      <c r="G51" s="33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 s="90" customFormat="1">
      <c r="A52" s="9"/>
      <c r="B52" s="7"/>
      <c r="C52" s="7"/>
      <c r="D52" s="7"/>
      <c r="E52" s="33"/>
      <c r="F52" s="7"/>
      <c r="G52" s="33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1:19" s="90" customFormat="1">
      <c r="A53" s="9"/>
      <c r="B53" s="7"/>
      <c r="C53" s="7"/>
      <c r="D53" s="7"/>
      <c r="E53" s="33"/>
      <c r="F53" s="7"/>
      <c r="G53" s="33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s="90" customFormat="1">
      <c r="A54" s="9"/>
      <c r="B54" s="7"/>
      <c r="C54" s="7"/>
      <c r="D54" s="7"/>
      <c r="E54" s="33"/>
      <c r="F54" s="7"/>
      <c r="G54" s="33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>
      <c r="A55" s="2"/>
    </row>
    <row r="56" spans="1:19">
      <c r="A56" s="2"/>
    </row>
    <row r="57" spans="1:19">
      <c r="A57" s="2"/>
    </row>
    <row r="58" spans="1:19">
      <c r="A58" s="2"/>
    </row>
    <row r="59" spans="1:19">
      <c r="A59" s="2"/>
    </row>
    <row r="60" spans="1:19">
      <c r="A60" s="2"/>
    </row>
    <row r="61" spans="1:19">
      <c r="A61" s="2"/>
    </row>
    <row r="62" spans="1:19">
      <c r="A62" s="2"/>
    </row>
    <row r="63" spans="1:19">
      <c r="A63" s="2"/>
    </row>
    <row r="64" spans="1:19">
      <c r="A64" s="2"/>
    </row>
    <row r="65" spans="1:1">
      <c r="A65" s="2"/>
    </row>
    <row r="66" spans="1:1">
      <c r="A66" s="2"/>
    </row>
    <row r="67" spans="1:1">
      <c r="A67" s="2"/>
    </row>
  </sheetData>
  <sheetProtection password="CA6A" sheet="1"/>
  <mergeCells count="14">
    <mergeCell ref="N4:O4"/>
    <mergeCell ref="F3:O3"/>
    <mergeCell ref="A1:S1"/>
    <mergeCell ref="P3:Q4"/>
    <mergeCell ref="L4:M4"/>
    <mergeCell ref="R3:S4"/>
    <mergeCell ref="H4:I4"/>
    <mergeCell ref="J4:K4"/>
    <mergeCell ref="A3:A5"/>
    <mergeCell ref="F4:G4"/>
    <mergeCell ref="D3:E4"/>
    <mergeCell ref="B3:B5"/>
    <mergeCell ref="C3:C5"/>
    <mergeCell ref="A26:B26"/>
  </mergeCells>
  <phoneticPr fontId="2" type="noConversion"/>
  <printOptions horizontalCentered="1"/>
  <pageMargins left="0.43" right="0.28000000000000003" top="0.43" bottom="0.23" header="0.28999999999999998" footer="0.16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67"/>
  <sheetViews>
    <sheetView zoomScale="120" zoomScaleNormal="120" zoomScaleSheetLayoutView="70" workbookViewId="0">
      <pane xSplit="2" ySplit="5" topLeftCell="C6" activePane="bottomRight" state="frozen"/>
      <selection activeCell="C27" sqref="C27"/>
      <selection pane="topRight" activeCell="C27" sqref="C27"/>
      <selection pane="bottomLeft" activeCell="C27" sqref="C27"/>
      <selection pane="bottomRight" activeCell="G15" sqref="G15"/>
    </sheetView>
  </sheetViews>
  <sheetFormatPr defaultRowHeight="13.5"/>
  <cols>
    <col min="1" max="1" width="9" style="1" customWidth="1"/>
    <col min="2" max="4" width="9" style="4" customWidth="1"/>
    <col min="5" max="5" width="9" style="31" customWidth="1"/>
    <col min="6" max="6" width="9" style="4" customWidth="1"/>
    <col min="7" max="7" width="9" style="31" customWidth="1"/>
    <col min="8" max="15" width="9" style="4" customWidth="1"/>
    <col min="16" max="16384" width="8.88671875" style="1"/>
  </cols>
  <sheetData>
    <row r="1" spans="1:15" ht="27">
      <c r="A1" s="146" t="s">
        <v>50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5" ht="16.5">
      <c r="A2" s="42"/>
      <c r="O2" s="24" t="s">
        <v>69</v>
      </c>
    </row>
    <row r="3" spans="1:15" s="62" customFormat="1" ht="19.149999999999999" customHeight="1">
      <c r="A3" s="126" t="s">
        <v>41</v>
      </c>
      <c r="B3" s="135" t="s">
        <v>89</v>
      </c>
      <c r="C3" s="138" t="s">
        <v>1</v>
      </c>
      <c r="D3" s="131" t="s">
        <v>4</v>
      </c>
      <c r="E3" s="132"/>
      <c r="F3" s="143" t="s">
        <v>37</v>
      </c>
      <c r="G3" s="144"/>
      <c r="H3" s="144"/>
      <c r="I3" s="144"/>
      <c r="J3" s="144"/>
      <c r="K3" s="145"/>
      <c r="L3" s="131" t="s">
        <v>38</v>
      </c>
      <c r="M3" s="132"/>
      <c r="N3" s="131" t="s">
        <v>6</v>
      </c>
      <c r="O3" s="147"/>
    </row>
    <row r="4" spans="1:15" s="62" customFormat="1" ht="19.149999999999999" customHeight="1">
      <c r="A4" s="127"/>
      <c r="B4" s="136"/>
      <c r="C4" s="139"/>
      <c r="D4" s="133"/>
      <c r="E4" s="134"/>
      <c r="F4" s="129" t="s">
        <v>62</v>
      </c>
      <c r="G4" s="130"/>
      <c r="H4" s="129" t="s">
        <v>63</v>
      </c>
      <c r="I4" s="130"/>
      <c r="J4" s="129" t="s">
        <v>5</v>
      </c>
      <c r="K4" s="130"/>
      <c r="L4" s="133"/>
      <c r="M4" s="134"/>
      <c r="N4" s="133"/>
      <c r="O4" s="148"/>
    </row>
    <row r="5" spans="1:15" s="62" customFormat="1" ht="19.149999999999999" customHeight="1">
      <c r="A5" s="128"/>
      <c r="B5" s="137"/>
      <c r="C5" s="140"/>
      <c r="D5" s="73"/>
      <c r="E5" s="74" t="s">
        <v>3</v>
      </c>
      <c r="F5" s="40"/>
      <c r="G5" s="74" t="s">
        <v>3</v>
      </c>
      <c r="H5" s="40"/>
      <c r="I5" s="75" t="s">
        <v>3</v>
      </c>
      <c r="J5" s="73"/>
      <c r="K5" s="75" t="s">
        <v>3</v>
      </c>
      <c r="L5" s="73"/>
      <c r="M5" s="75" t="s">
        <v>3</v>
      </c>
      <c r="N5" s="73"/>
      <c r="O5" s="76" t="s">
        <v>3</v>
      </c>
    </row>
    <row r="6" spans="1:15" s="62" customFormat="1" ht="27" customHeight="1">
      <c r="A6" s="58" t="s">
        <v>2</v>
      </c>
      <c r="B6" s="59">
        <f>SUM(B7,B9)</f>
        <v>40</v>
      </c>
      <c r="C6" s="30">
        <f>SUM(C7:C9)</f>
        <v>85998</v>
      </c>
      <c r="D6" s="30">
        <f>SUM(D7:D9)</f>
        <v>54635</v>
      </c>
      <c r="E6" s="60">
        <f>D6/C6*100</f>
        <v>63.530547222028424</v>
      </c>
      <c r="F6" s="30">
        <f>SUM(F7:F9)</f>
        <v>40875</v>
      </c>
      <c r="G6" s="60">
        <f>F6/J6%</f>
        <v>79.399766899766902</v>
      </c>
      <c r="H6" s="30">
        <f>SUM(H7:H9)</f>
        <v>10605</v>
      </c>
      <c r="I6" s="60">
        <f t="shared" ref="I6:I26" si="0">H6/$J6*100</f>
        <v>20.600233100233101</v>
      </c>
      <c r="J6" s="30">
        <f>SUM(J7:J9)</f>
        <v>51480</v>
      </c>
      <c r="K6" s="60">
        <f t="shared" ref="K6:K26" si="1">J6/$D6*100</f>
        <v>94.225313443763156</v>
      </c>
      <c r="L6" s="30">
        <f>SUM(L7:L9)</f>
        <v>3155</v>
      </c>
      <c r="M6" s="60">
        <f t="shared" ref="M6:M26" si="2">L6/$D6*100</f>
        <v>5.7746865562368441</v>
      </c>
      <c r="N6" s="30">
        <f>SUM(N7:N9)</f>
        <v>31363</v>
      </c>
      <c r="O6" s="61">
        <f t="shared" ref="O6:O23" si="3">N6/$C6*100</f>
        <v>36.469452777971576</v>
      </c>
    </row>
    <row r="7" spans="1:15" s="62" customFormat="1" ht="21.75" customHeight="1">
      <c r="A7" s="63" t="s">
        <v>61</v>
      </c>
      <c r="B7" s="66"/>
      <c r="C7" s="64">
        <v>11519</v>
      </c>
      <c r="D7" s="64">
        <v>11510</v>
      </c>
      <c r="E7" s="50">
        <f>D7/C7*100</f>
        <v>99.921868217727237</v>
      </c>
      <c r="F7" s="64">
        <v>8058</v>
      </c>
      <c r="G7" s="50">
        <f>F7/J7%</f>
        <v>73.161430906119477</v>
      </c>
      <c r="H7" s="64">
        <v>2956</v>
      </c>
      <c r="I7" s="50">
        <f t="shared" si="0"/>
        <v>26.838569093880515</v>
      </c>
      <c r="J7" s="64">
        <f>F7+H7</f>
        <v>11014</v>
      </c>
      <c r="K7" s="50">
        <f>J7/$D7*100</f>
        <v>95.69070373588184</v>
      </c>
      <c r="L7" s="64">
        <v>496</v>
      </c>
      <c r="M7" s="50">
        <f t="shared" si="2"/>
        <v>4.3092962641181582</v>
      </c>
      <c r="N7" s="65">
        <v>9</v>
      </c>
      <c r="O7" s="51">
        <f>N7/$C7*100</f>
        <v>7.8131782272766737E-2</v>
      </c>
    </row>
    <row r="8" spans="1:15" s="62" customFormat="1" ht="21.75" customHeight="1">
      <c r="A8" s="63" t="s">
        <v>60</v>
      </c>
      <c r="B8" s="66"/>
      <c r="C8" s="64">
        <v>531</v>
      </c>
      <c r="D8" s="64">
        <v>501</v>
      </c>
      <c r="E8" s="50">
        <f>D8/C8*100</f>
        <v>94.350282485875709</v>
      </c>
      <c r="F8" s="64">
        <v>353</v>
      </c>
      <c r="G8" s="50">
        <f>F8/J8%</f>
        <v>82.863849765258223</v>
      </c>
      <c r="H8" s="64">
        <v>73</v>
      </c>
      <c r="I8" s="50">
        <f t="shared" si="0"/>
        <v>17.136150234741784</v>
      </c>
      <c r="J8" s="64">
        <f>F8+H8</f>
        <v>426</v>
      </c>
      <c r="K8" s="50">
        <f>J8/$D8*100</f>
        <v>85.029940119760482</v>
      </c>
      <c r="L8" s="64">
        <f>D8-J8</f>
        <v>75</v>
      </c>
      <c r="M8" s="50">
        <f>L8/$D8*100</f>
        <v>14.97005988023952</v>
      </c>
      <c r="N8" s="65">
        <f>C8-D8</f>
        <v>30</v>
      </c>
      <c r="O8" s="51">
        <f>N8/$C8*100</f>
        <v>5.6497175141242941</v>
      </c>
    </row>
    <row r="9" spans="1:15" s="67" customFormat="1" ht="27" customHeight="1">
      <c r="A9" s="58" t="s">
        <v>39</v>
      </c>
      <c r="B9" s="59">
        <f>SUM(B10,B11,B12,B13,B14,B15,B16,B17,B18,B19,B20,B21,B22,B23,B24,B25)</f>
        <v>40</v>
      </c>
      <c r="C9" s="30">
        <f>SUM(C10:C26)</f>
        <v>73948</v>
      </c>
      <c r="D9" s="30">
        <f>SUM(D10:D26)</f>
        <v>42624</v>
      </c>
      <c r="E9" s="60">
        <f>D9/C9*100</f>
        <v>57.640504138042949</v>
      </c>
      <c r="F9" s="30">
        <f>SUM(F10:F26)</f>
        <v>32464</v>
      </c>
      <c r="G9" s="60">
        <f>F9/J9%</f>
        <v>81.078921078921084</v>
      </c>
      <c r="H9" s="30">
        <f>SUM(H10:H26)</f>
        <v>7576</v>
      </c>
      <c r="I9" s="60">
        <f t="shared" si="0"/>
        <v>18.921078921078919</v>
      </c>
      <c r="J9" s="30">
        <f>SUM(J10:J26)</f>
        <v>40040</v>
      </c>
      <c r="K9" s="60">
        <f t="shared" si="1"/>
        <v>93.937687687687685</v>
      </c>
      <c r="L9" s="30">
        <f>SUM(L10:L26)</f>
        <v>2584</v>
      </c>
      <c r="M9" s="60">
        <f t="shared" si="2"/>
        <v>6.0623123123123124</v>
      </c>
      <c r="N9" s="30">
        <f>SUM(N10:N26)</f>
        <v>31324</v>
      </c>
      <c r="O9" s="61">
        <f t="shared" si="3"/>
        <v>42.359495861957051</v>
      </c>
    </row>
    <row r="10" spans="1:15" s="62" customFormat="1" ht="21.75" customHeight="1">
      <c r="A10" s="63" t="s">
        <v>7</v>
      </c>
      <c r="B10" s="68">
        <v>6</v>
      </c>
      <c r="C10" s="49">
        <v>9500</v>
      </c>
      <c r="D10" s="28">
        <v>5086</v>
      </c>
      <c r="E10" s="50">
        <f>D10/C10*100</f>
        <v>53.536842105263162</v>
      </c>
      <c r="F10" s="28">
        <v>4012</v>
      </c>
      <c r="G10" s="50">
        <f>F10/J10%</f>
        <v>82.961124896608766</v>
      </c>
      <c r="H10" s="28">
        <v>824</v>
      </c>
      <c r="I10" s="50">
        <f t="shared" si="0"/>
        <v>17.038875103391231</v>
      </c>
      <c r="J10" s="28">
        <f>F10+H10</f>
        <v>4836</v>
      </c>
      <c r="K10" s="50">
        <f>J10/$D10*100</f>
        <v>95.084545812033028</v>
      </c>
      <c r="L10" s="28">
        <f t="shared" ref="L10:L26" si="4">D10-J10</f>
        <v>250</v>
      </c>
      <c r="M10" s="50">
        <f>L10/$D10*100</f>
        <v>4.9154541879669678</v>
      </c>
      <c r="N10" s="28">
        <f>C10-D10</f>
        <v>4414</v>
      </c>
      <c r="O10" s="51">
        <f t="shared" si="3"/>
        <v>46.463157894736838</v>
      </c>
    </row>
    <row r="11" spans="1:15" s="62" customFormat="1" ht="21.75" customHeight="1">
      <c r="A11" s="63" t="s">
        <v>8</v>
      </c>
      <c r="B11" s="68">
        <v>2</v>
      </c>
      <c r="C11" s="49">
        <v>3532</v>
      </c>
      <c r="D11" s="28">
        <v>2092</v>
      </c>
      <c r="E11" s="50">
        <f t="shared" ref="E11:E24" si="5">D11/C11*100</f>
        <v>59.229898074745194</v>
      </c>
      <c r="F11" s="28">
        <v>1702</v>
      </c>
      <c r="G11" s="50">
        <f t="shared" ref="G11:G26" si="6">F11/J11%</f>
        <v>84.634510193933366</v>
      </c>
      <c r="H11" s="28">
        <v>309</v>
      </c>
      <c r="I11" s="50">
        <f t="shared" si="0"/>
        <v>15.365489806066634</v>
      </c>
      <c r="J11" s="28">
        <f t="shared" ref="J11:J26" si="7">F11+H11</f>
        <v>2011</v>
      </c>
      <c r="K11" s="50">
        <f t="shared" si="1"/>
        <v>96.128107074569797</v>
      </c>
      <c r="L11" s="28">
        <f t="shared" si="4"/>
        <v>81</v>
      </c>
      <c r="M11" s="50">
        <f t="shared" si="2"/>
        <v>3.8718929254302106</v>
      </c>
      <c r="N11" s="28">
        <f t="shared" ref="N11:N24" si="8">C11-D11</f>
        <v>1440</v>
      </c>
      <c r="O11" s="51">
        <f t="shared" si="3"/>
        <v>40.770101925254814</v>
      </c>
    </row>
    <row r="12" spans="1:15" s="62" customFormat="1" ht="21.75" customHeight="1">
      <c r="A12" s="63" t="s">
        <v>9</v>
      </c>
      <c r="B12" s="68">
        <v>2</v>
      </c>
      <c r="C12" s="49">
        <v>3079</v>
      </c>
      <c r="D12" s="28">
        <v>1796</v>
      </c>
      <c r="E12" s="50">
        <f t="shared" si="5"/>
        <v>58.330626826891852</v>
      </c>
      <c r="F12" s="28">
        <v>1466</v>
      </c>
      <c r="G12" s="50">
        <f t="shared" si="6"/>
        <v>86.083382266588373</v>
      </c>
      <c r="H12" s="28">
        <v>237</v>
      </c>
      <c r="I12" s="50">
        <f t="shared" si="0"/>
        <v>13.916617733411627</v>
      </c>
      <c r="J12" s="28">
        <f t="shared" si="7"/>
        <v>1703</v>
      </c>
      <c r="K12" s="50">
        <f t="shared" si="1"/>
        <v>94.821826280623611</v>
      </c>
      <c r="L12" s="28">
        <f t="shared" si="4"/>
        <v>93</v>
      </c>
      <c r="M12" s="50">
        <f t="shared" si="2"/>
        <v>5.1781737193763924</v>
      </c>
      <c r="N12" s="28">
        <f t="shared" si="8"/>
        <v>1283</v>
      </c>
      <c r="O12" s="51">
        <f t="shared" si="3"/>
        <v>41.669373173108156</v>
      </c>
    </row>
    <row r="13" spans="1:15" s="62" customFormat="1" ht="21.75" customHeight="1">
      <c r="A13" s="63" t="s">
        <v>10</v>
      </c>
      <c r="B13" s="68">
        <v>2</v>
      </c>
      <c r="C13" s="49">
        <v>2600</v>
      </c>
      <c r="D13" s="28">
        <v>1477</v>
      </c>
      <c r="E13" s="50">
        <f t="shared" si="5"/>
        <v>56.807692307692307</v>
      </c>
      <c r="F13" s="28">
        <v>1181</v>
      </c>
      <c r="G13" s="50">
        <f t="shared" si="6"/>
        <v>84.176764076977904</v>
      </c>
      <c r="H13" s="28">
        <v>222</v>
      </c>
      <c r="I13" s="50">
        <f t="shared" si="0"/>
        <v>15.823235923022095</v>
      </c>
      <c r="J13" s="28">
        <f t="shared" si="7"/>
        <v>1403</v>
      </c>
      <c r="K13" s="50">
        <f t="shared" si="1"/>
        <v>94.989844278943806</v>
      </c>
      <c r="L13" s="28">
        <f t="shared" si="4"/>
        <v>74</v>
      </c>
      <c r="M13" s="50">
        <f t="shared" si="2"/>
        <v>5.0101557210561944</v>
      </c>
      <c r="N13" s="28">
        <f t="shared" si="8"/>
        <v>1123</v>
      </c>
      <c r="O13" s="51">
        <f t="shared" si="3"/>
        <v>43.192307692307693</v>
      </c>
    </row>
    <row r="14" spans="1:15" s="62" customFormat="1" ht="21.75" customHeight="1">
      <c r="A14" s="63" t="s">
        <v>11</v>
      </c>
      <c r="B14" s="68">
        <v>1</v>
      </c>
      <c r="C14" s="49">
        <v>1807</v>
      </c>
      <c r="D14" s="28">
        <v>1137</v>
      </c>
      <c r="E14" s="50">
        <f t="shared" si="5"/>
        <v>62.921970116214723</v>
      </c>
      <c r="F14" s="28">
        <v>896</v>
      </c>
      <c r="G14" s="50">
        <f t="shared" si="6"/>
        <v>83.738317757009355</v>
      </c>
      <c r="H14" s="28">
        <v>174</v>
      </c>
      <c r="I14" s="50">
        <f t="shared" si="0"/>
        <v>16.261682242990656</v>
      </c>
      <c r="J14" s="28">
        <f t="shared" si="7"/>
        <v>1070</v>
      </c>
      <c r="K14" s="50">
        <f t="shared" si="1"/>
        <v>94.107299912049243</v>
      </c>
      <c r="L14" s="28">
        <f t="shared" si="4"/>
        <v>67</v>
      </c>
      <c r="M14" s="50">
        <f t="shared" si="2"/>
        <v>5.8927000879507476</v>
      </c>
      <c r="N14" s="28">
        <f t="shared" si="8"/>
        <v>670</v>
      </c>
      <c r="O14" s="51">
        <f t="shared" si="3"/>
        <v>37.078029883785277</v>
      </c>
    </row>
    <row r="15" spans="1:15" s="62" customFormat="1" ht="21.75" customHeight="1">
      <c r="A15" s="63" t="s">
        <v>12</v>
      </c>
      <c r="B15" s="68">
        <v>2</v>
      </c>
      <c r="C15" s="49">
        <v>2329</v>
      </c>
      <c r="D15" s="28">
        <v>1469</v>
      </c>
      <c r="E15" s="50">
        <f t="shared" si="5"/>
        <v>63.074280807213398</v>
      </c>
      <c r="F15" s="28">
        <v>1123</v>
      </c>
      <c r="G15" s="50">
        <f t="shared" si="6"/>
        <v>85.399239543726239</v>
      </c>
      <c r="H15" s="28">
        <v>192</v>
      </c>
      <c r="I15" s="50">
        <f t="shared" si="0"/>
        <v>14.600760456273765</v>
      </c>
      <c r="J15" s="28">
        <f t="shared" si="7"/>
        <v>1315</v>
      </c>
      <c r="K15" s="50">
        <f t="shared" si="1"/>
        <v>89.516678012253237</v>
      </c>
      <c r="L15" s="28">
        <f t="shared" si="4"/>
        <v>154</v>
      </c>
      <c r="M15" s="50">
        <f t="shared" si="2"/>
        <v>10.483321987746766</v>
      </c>
      <c r="N15" s="28">
        <f t="shared" si="8"/>
        <v>860</v>
      </c>
      <c r="O15" s="51">
        <f t="shared" si="3"/>
        <v>36.925719192786602</v>
      </c>
    </row>
    <row r="16" spans="1:15" s="62" customFormat="1" ht="21.75" customHeight="1">
      <c r="A16" s="63" t="s">
        <v>13</v>
      </c>
      <c r="B16" s="68">
        <v>1</v>
      </c>
      <c r="C16" s="49">
        <v>858</v>
      </c>
      <c r="D16" s="28">
        <v>551</v>
      </c>
      <c r="E16" s="50">
        <f t="shared" si="5"/>
        <v>64.219114219114218</v>
      </c>
      <c r="F16" s="28">
        <v>361</v>
      </c>
      <c r="G16" s="50">
        <f t="shared" si="6"/>
        <v>79.340659340659343</v>
      </c>
      <c r="H16" s="28">
        <v>94</v>
      </c>
      <c r="I16" s="50">
        <f t="shared" si="0"/>
        <v>20.659340659340657</v>
      </c>
      <c r="J16" s="28">
        <f t="shared" si="7"/>
        <v>455</v>
      </c>
      <c r="K16" s="50">
        <f t="shared" si="1"/>
        <v>82.577132486388379</v>
      </c>
      <c r="L16" s="28">
        <f t="shared" si="4"/>
        <v>96</v>
      </c>
      <c r="M16" s="50">
        <f t="shared" si="2"/>
        <v>17.422867513611614</v>
      </c>
      <c r="N16" s="28">
        <f t="shared" si="8"/>
        <v>307</v>
      </c>
      <c r="O16" s="51">
        <f t="shared" si="3"/>
        <v>35.780885780885782</v>
      </c>
    </row>
    <row r="17" spans="1:15" s="62" customFormat="1" ht="21.75" customHeight="1">
      <c r="A17" s="63" t="s">
        <v>14</v>
      </c>
      <c r="B17" s="68">
        <v>3</v>
      </c>
      <c r="C17" s="49">
        <v>3617</v>
      </c>
      <c r="D17" s="28">
        <v>2356</v>
      </c>
      <c r="E17" s="50">
        <f t="shared" si="5"/>
        <v>65.136853746198511</v>
      </c>
      <c r="F17" s="28">
        <v>1802</v>
      </c>
      <c r="G17" s="50">
        <f t="shared" si="6"/>
        <v>83.619489559164734</v>
      </c>
      <c r="H17" s="28">
        <v>353</v>
      </c>
      <c r="I17" s="50">
        <f t="shared" si="0"/>
        <v>16.380510440835266</v>
      </c>
      <c r="J17" s="28">
        <f t="shared" si="7"/>
        <v>2155</v>
      </c>
      <c r="K17" s="50">
        <f t="shared" si="1"/>
        <v>91.468590831918505</v>
      </c>
      <c r="L17" s="28">
        <f t="shared" si="4"/>
        <v>201</v>
      </c>
      <c r="M17" s="50">
        <f t="shared" si="2"/>
        <v>8.5314091680814936</v>
      </c>
      <c r="N17" s="28">
        <f t="shared" si="8"/>
        <v>1261</v>
      </c>
      <c r="O17" s="51">
        <f t="shared" si="3"/>
        <v>34.863146253801489</v>
      </c>
    </row>
    <row r="18" spans="1:15" s="62" customFormat="1" ht="21.75" customHeight="1">
      <c r="A18" s="63" t="s">
        <v>15</v>
      </c>
      <c r="B18" s="68">
        <v>3</v>
      </c>
      <c r="C18" s="49">
        <v>4672</v>
      </c>
      <c r="D18" s="28">
        <v>2865</v>
      </c>
      <c r="E18" s="50">
        <f t="shared" si="5"/>
        <v>61.322773972602739</v>
      </c>
      <c r="F18" s="28">
        <v>2186</v>
      </c>
      <c r="G18" s="50">
        <f t="shared" si="6"/>
        <v>82.36623963828184</v>
      </c>
      <c r="H18" s="28">
        <v>468</v>
      </c>
      <c r="I18" s="50">
        <f t="shared" si="0"/>
        <v>17.633760361718164</v>
      </c>
      <c r="J18" s="28">
        <f t="shared" si="7"/>
        <v>2654</v>
      </c>
      <c r="K18" s="50">
        <f t="shared" si="1"/>
        <v>92.635253054101213</v>
      </c>
      <c r="L18" s="28">
        <f t="shared" si="4"/>
        <v>211</v>
      </c>
      <c r="M18" s="50">
        <f t="shared" si="2"/>
        <v>7.3647469458987782</v>
      </c>
      <c r="N18" s="28">
        <f t="shared" si="8"/>
        <v>1807</v>
      </c>
      <c r="O18" s="51">
        <f t="shared" si="3"/>
        <v>38.677226027397261</v>
      </c>
    </row>
    <row r="19" spans="1:15" s="62" customFormat="1" ht="21.75" customHeight="1">
      <c r="A19" s="63" t="s">
        <v>16</v>
      </c>
      <c r="B19" s="68">
        <v>2</v>
      </c>
      <c r="C19" s="49">
        <v>3506</v>
      </c>
      <c r="D19" s="28">
        <v>2109</v>
      </c>
      <c r="E19" s="50">
        <f t="shared" si="5"/>
        <v>60.154021677124923</v>
      </c>
      <c r="F19" s="28">
        <v>1691</v>
      </c>
      <c r="G19" s="50">
        <f t="shared" si="6"/>
        <v>84.339152119700742</v>
      </c>
      <c r="H19" s="28">
        <v>314</v>
      </c>
      <c r="I19" s="50">
        <f t="shared" si="0"/>
        <v>15.660847880299253</v>
      </c>
      <c r="J19" s="28">
        <f t="shared" si="7"/>
        <v>2005</v>
      </c>
      <c r="K19" s="50">
        <f t="shared" si="1"/>
        <v>95.068752963489814</v>
      </c>
      <c r="L19" s="28">
        <f t="shared" si="4"/>
        <v>104</v>
      </c>
      <c r="M19" s="50">
        <f t="shared" si="2"/>
        <v>4.9312470365101948</v>
      </c>
      <c r="N19" s="28">
        <f t="shared" si="8"/>
        <v>1397</v>
      </c>
      <c r="O19" s="51">
        <f t="shared" si="3"/>
        <v>39.845978322875069</v>
      </c>
    </row>
    <row r="20" spans="1:15" s="62" customFormat="1" ht="21.75" customHeight="1">
      <c r="A20" s="63" t="s">
        <v>17</v>
      </c>
      <c r="B20" s="68">
        <v>1</v>
      </c>
      <c r="C20" s="49">
        <v>2612</v>
      </c>
      <c r="D20" s="28">
        <v>1482</v>
      </c>
      <c r="E20" s="50">
        <f t="shared" si="5"/>
        <v>56.738131699846861</v>
      </c>
      <c r="F20" s="28">
        <v>1150</v>
      </c>
      <c r="G20" s="50">
        <f t="shared" si="6"/>
        <v>82.674335010783608</v>
      </c>
      <c r="H20" s="28">
        <v>241</v>
      </c>
      <c r="I20" s="50">
        <f t="shared" si="0"/>
        <v>17.325664989216392</v>
      </c>
      <c r="J20" s="28">
        <f t="shared" si="7"/>
        <v>1391</v>
      </c>
      <c r="K20" s="50">
        <f t="shared" si="1"/>
        <v>93.859649122807014</v>
      </c>
      <c r="L20" s="28">
        <f t="shared" si="4"/>
        <v>91</v>
      </c>
      <c r="M20" s="50">
        <f t="shared" si="2"/>
        <v>6.140350877192982</v>
      </c>
      <c r="N20" s="28">
        <f t="shared" si="8"/>
        <v>1130</v>
      </c>
      <c r="O20" s="51">
        <f t="shared" si="3"/>
        <v>43.261868300153139</v>
      </c>
    </row>
    <row r="21" spans="1:15" s="62" customFormat="1" ht="21.75" customHeight="1">
      <c r="A21" s="63" t="s">
        <v>18</v>
      </c>
      <c r="B21" s="68">
        <v>6</v>
      </c>
      <c r="C21" s="49">
        <v>18581</v>
      </c>
      <c r="D21" s="28">
        <v>10259</v>
      </c>
      <c r="E21" s="50">
        <f t="shared" si="5"/>
        <v>55.212313653732302</v>
      </c>
      <c r="F21" s="28">
        <v>7390</v>
      </c>
      <c r="G21" s="50">
        <f t="shared" si="6"/>
        <v>76.731388225521755</v>
      </c>
      <c r="H21" s="28">
        <v>2241</v>
      </c>
      <c r="I21" s="50">
        <f t="shared" si="0"/>
        <v>23.268611774478249</v>
      </c>
      <c r="J21" s="28">
        <f t="shared" si="7"/>
        <v>9631</v>
      </c>
      <c r="K21" s="50">
        <f t="shared" si="1"/>
        <v>93.878545667219029</v>
      </c>
      <c r="L21" s="28">
        <f t="shared" si="4"/>
        <v>628</v>
      </c>
      <c r="M21" s="50">
        <f t="shared" si="2"/>
        <v>6.1214543327809725</v>
      </c>
      <c r="N21" s="28">
        <f t="shared" si="8"/>
        <v>8322</v>
      </c>
      <c r="O21" s="51">
        <f t="shared" si="3"/>
        <v>44.787686346267691</v>
      </c>
    </row>
    <row r="22" spans="1:15" s="62" customFormat="1" ht="21.75" customHeight="1">
      <c r="A22" s="63" t="s">
        <v>19</v>
      </c>
      <c r="B22" s="68">
        <v>3</v>
      </c>
      <c r="C22" s="49">
        <v>6791</v>
      </c>
      <c r="D22" s="28">
        <v>3878</v>
      </c>
      <c r="E22" s="50">
        <f t="shared" si="5"/>
        <v>57.104991901045501</v>
      </c>
      <c r="F22" s="28">
        <v>2827</v>
      </c>
      <c r="G22" s="50">
        <f t="shared" si="6"/>
        <v>77.664835164835168</v>
      </c>
      <c r="H22" s="28">
        <v>813</v>
      </c>
      <c r="I22" s="50">
        <f t="shared" si="0"/>
        <v>22.335164835164836</v>
      </c>
      <c r="J22" s="28">
        <f t="shared" si="7"/>
        <v>3640</v>
      </c>
      <c r="K22" s="50">
        <f t="shared" si="1"/>
        <v>93.862815884476532</v>
      </c>
      <c r="L22" s="28">
        <f t="shared" si="4"/>
        <v>238</v>
      </c>
      <c r="M22" s="50">
        <f t="shared" si="2"/>
        <v>6.1371841155234659</v>
      </c>
      <c r="N22" s="28">
        <f t="shared" si="8"/>
        <v>2913</v>
      </c>
      <c r="O22" s="51">
        <f t="shared" si="3"/>
        <v>42.895008098954499</v>
      </c>
    </row>
    <row r="23" spans="1:15" s="62" customFormat="1" ht="21.75" customHeight="1">
      <c r="A23" s="63" t="s">
        <v>20</v>
      </c>
      <c r="B23" s="68">
        <v>2</v>
      </c>
      <c r="C23" s="49">
        <v>3991</v>
      </c>
      <c r="D23" s="28">
        <v>2347</v>
      </c>
      <c r="E23" s="50">
        <f t="shared" si="5"/>
        <v>58.807316462039594</v>
      </c>
      <c r="F23" s="28">
        <v>1830</v>
      </c>
      <c r="G23" s="50">
        <f t="shared" si="6"/>
        <v>81.55080213903743</v>
      </c>
      <c r="H23" s="28">
        <v>414</v>
      </c>
      <c r="I23" s="50">
        <f t="shared" si="0"/>
        <v>18.449197860962567</v>
      </c>
      <c r="J23" s="28">
        <f t="shared" si="7"/>
        <v>2244</v>
      </c>
      <c r="K23" s="50">
        <f t="shared" si="1"/>
        <v>95.611418832552204</v>
      </c>
      <c r="L23" s="28">
        <f t="shared" si="4"/>
        <v>103</v>
      </c>
      <c r="M23" s="50">
        <f t="shared" si="2"/>
        <v>4.3885811674478061</v>
      </c>
      <c r="N23" s="28">
        <f t="shared" si="8"/>
        <v>1644</v>
      </c>
      <c r="O23" s="51">
        <f t="shared" si="3"/>
        <v>41.192683537960413</v>
      </c>
    </row>
    <row r="24" spans="1:15" s="62" customFormat="1" ht="21.75" customHeight="1">
      <c r="A24" s="63" t="s">
        <v>21</v>
      </c>
      <c r="B24" s="68">
        <v>2</v>
      </c>
      <c r="C24" s="49">
        <v>3631</v>
      </c>
      <c r="D24" s="28">
        <v>2102</v>
      </c>
      <c r="E24" s="50">
        <f t="shared" si="5"/>
        <v>57.890388322776097</v>
      </c>
      <c r="F24" s="28">
        <v>1622</v>
      </c>
      <c r="G24" s="50">
        <f t="shared" si="6"/>
        <v>81.140570285142573</v>
      </c>
      <c r="H24" s="28">
        <v>377</v>
      </c>
      <c r="I24" s="50">
        <f t="shared" si="0"/>
        <v>18.859429714857427</v>
      </c>
      <c r="J24" s="28">
        <f t="shared" si="7"/>
        <v>1999</v>
      </c>
      <c r="K24" s="50">
        <f t="shared" si="1"/>
        <v>95.099904852521405</v>
      </c>
      <c r="L24" s="28">
        <f t="shared" si="4"/>
        <v>103</v>
      </c>
      <c r="M24" s="50">
        <f t="shared" si="2"/>
        <v>4.9000951474785923</v>
      </c>
      <c r="N24" s="28">
        <f t="shared" si="8"/>
        <v>1529</v>
      </c>
      <c r="O24" s="51">
        <f>N24/$C24*100</f>
        <v>42.10961167722391</v>
      </c>
    </row>
    <row r="25" spans="1:15" s="62" customFormat="1" ht="21.75" customHeight="1">
      <c r="A25" s="93" t="s">
        <v>22</v>
      </c>
      <c r="B25" s="94">
        <v>2</v>
      </c>
      <c r="C25" s="95">
        <v>2842</v>
      </c>
      <c r="D25" s="96">
        <v>1594</v>
      </c>
      <c r="E25" s="97">
        <f>D25/C25*100</f>
        <v>56.087262491203383</v>
      </c>
      <c r="F25" s="96">
        <v>1206</v>
      </c>
      <c r="G25" s="97">
        <f t="shared" si="6"/>
        <v>80.026542800265432</v>
      </c>
      <c r="H25" s="96">
        <v>301</v>
      </c>
      <c r="I25" s="97">
        <f t="shared" si="0"/>
        <v>19.973457199734572</v>
      </c>
      <c r="J25" s="96">
        <f t="shared" si="7"/>
        <v>1507</v>
      </c>
      <c r="K25" s="97">
        <f t="shared" si="1"/>
        <v>94.54203262233375</v>
      </c>
      <c r="L25" s="96">
        <f t="shared" si="4"/>
        <v>87</v>
      </c>
      <c r="M25" s="97">
        <f t="shared" si="2"/>
        <v>5.4579673776662485</v>
      </c>
      <c r="N25" s="96">
        <f>C25-D25</f>
        <v>1248</v>
      </c>
      <c r="O25" s="98">
        <f>N25/$C25*100</f>
        <v>43.912737508796624</v>
      </c>
    </row>
    <row r="26" spans="1:15" s="62" customFormat="1" ht="21.75" customHeight="1">
      <c r="A26" s="149" t="s">
        <v>40</v>
      </c>
      <c r="B26" s="150"/>
      <c r="C26" s="99"/>
      <c r="D26" s="100">
        <v>24</v>
      </c>
      <c r="E26" s="101">
        <f>D26/D6*100</f>
        <v>4.392788505536744E-2</v>
      </c>
      <c r="F26" s="100">
        <v>19</v>
      </c>
      <c r="G26" s="101">
        <f t="shared" si="6"/>
        <v>90.476190476190482</v>
      </c>
      <c r="H26" s="100">
        <v>2</v>
      </c>
      <c r="I26" s="101">
        <f t="shared" si="0"/>
        <v>9.5238095238095237</v>
      </c>
      <c r="J26" s="100">
        <f t="shared" si="7"/>
        <v>21</v>
      </c>
      <c r="K26" s="101">
        <f t="shared" si="1"/>
        <v>87.5</v>
      </c>
      <c r="L26" s="100">
        <f t="shared" si="4"/>
        <v>3</v>
      </c>
      <c r="M26" s="101">
        <f t="shared" si="2"/>
        <v>12.5</v>
      </c>
      <c r="N26" s="100">
        <v>-24</v>
      </c>
      <c r="O26" s="102"/>
    </row>
    <row r="27" spans="1:15" s="5" customFormat="1" ht="17.25" customHeight="1">
      <c r="A27" s="23"/>
      <c r="B27" s="6"/>
      <c r="C27" s="6"/>
      <c r="D27" s="6"/>
      <c r="E27" s="32"/>
      <c r="F27" s="6"/>
      <c r="G27" s="32"/>
      <c r="H27" s="6"/>
      <c r="I27" s="6"/>
      <c r="J27" s="6"/>
      <c r="K27" s="6"/>
      <c r="L27" s="6"/>
      <c r="M27" s="6"/>
      <c r="N27" s="6"/>
      <c r="O27" s="6"/>
    </row>
    <row r="28" spans="1:15" s="5" customFormat="1">
      <c r="A28" s="23"/>
      <c r="B28" s="6"/>
      <c r="C28" s="6"/>
      <c r="D28" s="6"/>
      <c r="E28" s="32"/>
      <c r="F28" s="6"/>
      <c r="G28" s="32"/>
      <c r="H28" s="6"/>
      <c r="I28" s="6"/>
      <c r="J28" s="6"/>
      <c r="K28" s="6"/>
      <c r="L28" s="6"/>
      <c r="M28" s="6"/>
      <c r="N28" s="6"/>
      <c r="O28" s="6"/>
    </row>
    <row r="29" spans="1:15" s="5" customFormat="1">
      <c r="A29" s="8"/>
      <c r="B29" s="6"/>
      <c r="C29" s="6"/>
      <c r="D29" s="6"/>
      <c r="E29" s="32"/>
      <c r="F29" s="6"/>
      <c r="G29" s="32"/>
      <c r="H29" s="6"/>
      <c r="I29" s="6"/>
      <c r="J29" s="6"/>
      <c r="K29" s="6"/>
      <c r="L29" s="6"/>
      <c r="M29" s="6"/>
      <c r="N29" s="6"/>
      <c r="O29" s="6"/>
    </row>
    <row r="30" spans="1:15" s="5" customFormat="1">
      <c r="A30" s="8"/>
      <c r="B30" s="6"/>
      <c r="C30" s="6"/>
      <c r="D30" s="6"/>
      <c r="E30" s="32"/>
      <c r="F30" s="6"/>
      <c r="G30" s="32"/>
      <c r="H30" s="6"/>
      <c r="I30" s="6"/>
      <c r="J30" s="6"/>
      <c r="K30" s="6"/>
      <c r="L30" s="6"/>
      <c r="M30" s="6"/>
      <c r="N30" s="6"/>
      <c r="O30" s="6"/>
    </row>
    <row r="31" spans="1:15" s="5" customFormat="1">
      <c r="A31" s="8"/>
      <c r="B31" s="6"/>
      <c r="C31" s="6"/>
      <c r="D31" s="6"/>
      <c r="E31" s="32"/>
      <c r="F31" s="6"/>
      <c r="G31" s="32"/>
      <c r="H31" s="6"/>
      <c r="I31" s="6"/>
      <c r="J31" s="6"/>
      <c r="K31" s="6"/>
      <c r="L31" s="6"/>
      <c r="M31" s="6"/>
      <c r="N31" s="6"/>
      <c r="O31" s="6"/>
    </row>
    <row r="32" spans="1:15" s="5" customFormat="1">
      <c r="A32" s="8"/>
      <c r="B32" s="6"/>
      <c r="C32" s="6"/>
      <c r="D32" s="6"/>
      <c r="E32" s="32"/>
      <c r="F32" s="6"/>
      <c r="G32" s="32"/>
      <c r="H32" s="6"/>
      <c r="I32" s="6"/>
      <c r="J32" s="6"/>
      <c r="K32" s="6"/>
      <c r="L32" s="6"/>
      <c r="M32" s="6"/>
      <c r="N32" s="6"/>
      <c r="O32" s="6"/>
    </row>
    <row r="33" spans="1:15" s="5" customFormat="1">
      <c r="A33" s="8"/>
      <c r="B33" s="6"/>
      <c r="C33" s="6"/>
      <c r="D33" s="6"/>
      <c r="E33" s="32"/>
      <c r="F33" s="6"/>
      <c r="G33" s="32"/>
      <c r="H33" s="6"/>
      <c r="I33" s="6"/>
      <c r="J33" s="6"/>
      <c r="K33" s="6"/>
      <c r="L33" s="6"/>
      <c r="M33" s="6"/>
      <c r="N33" s="6"/>
      <c r="O33" s="6"/>
    </row>
    <row r="34" spans="1:15" s="5" customFormat="1">
      <c r="A34" s="8"/>
      <c r="B34" s="6"/>
      <c r="C34" s="6"/>
      <c r="D34" s="6"/>
      <c r="E34" s="32"/>
      <c r="F34" s="6"/>
      <c r="G34" s="32"/>
      <c r="H34" s="6"/>
      <c r="I34" s="6"/>
      <c r="J34" s="6"/>
      <c r="K34" s="6"/>
      <c r="L34" s="6"/>
      <c r="M34" s="6"/>
      <c r="N34" s="6"/>
      <c r="O34" s="6"/>
    </row>
    <row r="35" spans="1:15" s="5" customFormat="1">
      <c r="A35" s="8"/>
      <c r="B35" s="6"/>
      <c r="C35" s="6"/>
      <c r="D35" s="6"/>
      <c r="E35" s="32"/>
      <c r="F35" s="6"/>
      <c r="G35" s="32"/>
      <c r="H35" s="6"/>
      <c r="I35" s="6"/>
      <c r="J35" s="6"/>
      <c r="K35" s="6"/>
      <c r="L35" s="6"/>
      <c r="M35" s="6"/>
      <c r="N35" s="6"/>
      <c r="O35" s="6"/>
    </row>
    <row r="36" spans="1:15" s="5" customFormat="1">
      <c r="A36" s="8"/>
      <c r="B36" s="6"/>
      <c r="C36" s="6"/>
      <c r="D36" s="6"/>
      <c r="E36" s="32"/>
      <c r="F36" s="6"/>
      <c r="G36" s="32"/>
      <c r="H36" s="6"/>
      <c r="I36" s="6"/>
      <c r="J36" s="6"/>
      <c r="K36" s="6"/>
      <c r="L36" s="6"/>
      <c r="M36" s="6"/>
      <c r="N36" s="6"/>
      <c r="O36" s="6"/>
    </row>
    <row r="37" spans="1:15" s="5" customFormat="1">
      <c r="A37" s="8"/>
      <c r="B37" s="6"/>
      <c r="C37" s="6"/>
      <c r="D37" s="6"/>
      <c r="E37" s="32"/>
      <c r="F37" s="6"/>
      <c r="G37" s="32"/>
      <c r="H37" s="6"/>
      <c r="I37" s="6"/>
      <c r="J37" s="6"/>
      <c r="K37" s="6"/>
      <c r="L37" s="6"/>
      <c r="M37" s="6"/>
      <c r="N37" s="6"/>
      <c r="O37" s="6"/>
    </row>
    <row r="38" spans="1:15" s="5" customFormat="1">
      <c r="A38" s="8"/>
      <c r="B38" s="6"/>
      <c r="C38" s="6"/>
      <c r="D38" s="6"/>
      <c r="E38" s="32"/>
      <c r="F38" s="6"/>
      <c r="G38" s="32"/>
      <c r="H38" s="6"/>
      <c r="I38" s="6"/>
      <c r="J38" s="6"/>
      <c r="K38" s="6"/>
      <c r="L38" s="6"/>
      <c r="M38" s="6"/>
      <c r="N38" s="6"/>
      <c r="O38" s="6"/>
    </row>
    <row r="39" spans="1:15" s="5" customFormat="1">
      <c r="A39" s="8"/>
      <c r="B39" s="6"/>
      <c r="C39" s="6"/>
      <c r="D39" s="6"/>
      <c r="E39" s="32"/>
      <c r="F39" s="6"/>
      <c r="G39" s="32"/>
      <c r="H39" s="6"/>
      <c r="I39" s="6"/>
      <c r="J39" s="6"/>
      <c r="K39" s="6"/>
      <c r="L39" s="6"/>
      <c r="M39" s="6"/>
      <c r="N39" s="6"/>
      <c r="O39" s="6"/>
    </row>
    <row r="40" spans="1:15" s="5" customFormat="1">
      <c r="A40" s="8"/>
      <c r="B40" s="6"/>
      <c r="C40" s="6"/>
      <c r="D40" s="6"/>
      <c r="E40" s="32"/>
      <c r="F40" s="6"/>
      <c r="G40" s="32"/>
      <c r="H40" s="6"/>
      <c r="I40" s="6"/>
      <c r="J40" s="6"/>
      <c r="K40" s="6"/>
      <c r="L40" s="6"/>
      <c r="M40" s="6"/>
      <c r="N40" s="6"/>
      <c r="O40" s="6"/>
    </row>
    <row r="41" spans="1:15" s="5" customFormat="1">
      <c r="A41" s="8"/>
      <c r="B41" s="6"/>
      <c r="C41" s="6"/>
      <c r="D41" s="6"/>
      <c r="E41" s="32"/>
      <c r="F41" s="6"/>
      <c r="G41" s="32"/>
      <c r="H41" s="6"/>
      <c r="I41" s="6"/>
      <c r="J41" s="6"/>
      <c r="K41" s="6"/>
      <c r="L41" s="6"/>
      <c r="M41" s="6"/>
      <c r="N41" s="6"/>
      <c r="O41" s="6"/>
    </row>
    <row r="42" spans="1:15" s="5" customFormat="1">
      <c r="A42" s="8"/>
      <c r="B42" s="6"/>
      <c r="C42" s="6"/>
      <c r="D42" s="6"/>
      <c r="E42" s="32"/>
      <c r="F42" s="6"/>
      <c r="G42" s="32"/>
      <c r="H42" s="6"/>
      <c r="I42" s="6"/>
      <c r="J42" s="6"/>
      <c r="K42" s="6"/>
      <c r="L42" s="6"/>
      <c r="M42" s="6"/>
      <c r="N42" s="6"/>
      <c r="O42" s="6"/>
    </row>
    <row r="43" spans="1:15" s="5" customFormat="1">
      <c r="A43" s="8"/>
      <c r="B43" s="6"/>
      <c r="C43" s="6"/>
      <c r="D43" s="6"/>
      <c r="E43" s="32"/>
      <c r="F43" s="6"/>
      <c r="G43" s="32"/>
      <c r="H43" s="6"/>
      <c r="I43" s="6"/>
      <c r="J43" s="6"/>
      <c r="K43" s="6"/>
      <c r="L43" s="6"/>
      <c r="M43" s="6"/>
      <c r="N43" s="6"/>
      <c r="O43" s="6"/>
    </row>
    <row r="44" spans="1:15" s="5" customFormat="1">
      <c r="A44" s="8"/>
      <c r="B44" s="6"/>
      <c r="C44" s="6"/>
      <c r="D44" s="6"/>
      <c r="E44" s="32"/>
      <c r="F44" s="6"/>
      <c r="G44" s="32"/>
      <c r="H44" s="6"/>
      <c r="I44" s="6"/>
      <c r="J44" s="6"/>
      <c r="K44" s="6"/>
      <c r="L44" s="6"/>
      <c r="M44" s="6"/>
      <c r="N44" s="6"/>
      <c r="O44" s="6"/>
    </row>
    <row r="45" spans="1:15" s="5" customFormat="1">
      <c r="A45" s="8"/>
      <c r="B45" s="6"/>
      <c r="C45" s="6"/>
      <c r="D45" s="6"/>
      <c r="E45" s="32"/>
      <c r="F45" s="6"/>
      <c r="G45" s="32"/>
      <c r="H45" s="6"/>
      <c r="I45" s="6"/>
      <c r="J45" s="6"/>
      <c r="K45" s="6"/>
      <c r="L45" s="6"/>
      <c r="M45" s="6"/>
      <c r="N45" s="6"/>
      <c r="O45" s="6"/>
    </row>
    <row r="46" spans="1:15" s="5" customFormat="1">
      <c r="A46" s="8"/>
      <c r="B46" s="6"/>
      <c r="C46" s="6"/>
      <c r="D46" s="6"/>
      <c r="E46" s="32"/>
      <c r="F46" s="6"/>
      <c r="G46" s="32"/>
      <c r="H46" s="6"/>
      <c r="I46" s="6"/>
      <c r="J46" s="6"/>
      <c r="K46" s="6"/>
      <c r="L46" s="6"/>
      <c r="M46" s="6"/>
      <c r="N46" s="6"/>
      <c r="O46" s="6"/>
    </row>
    <row r="47" spans="1:15" s="5" customFormat="1">
      <c r="A47" s="8"/>
      <c r="B47" s="6"/>
      <c r="C47" s="6"/>
      <c r="D47" s="6"/>
      <c r="E47" s="32"/>
      <c r="F47" s="6"/>
      <c r="G47" s="32"/>
      <c r="H47" s="6"/>
      <c r="I47" s="6"/>
      <c r="J47" s="6"/>
      <c r="K47" s="6"/>
      <c r="L47" s="6"/>
      <c r="M47" s="6"/>
      <c r="N47" s="6"/>
      <c r="O47" s="6"/>
    </row>
    <row r="48" spans="1:15" s="5" customFormat="1">
      <c r="A48" s="8"/>
      <c r="B48" s="6"/>
      <c r="C48" s="6"/>
      <c r="D48" s="6"/>
      <c r="E48" s="32"/>
      <c r="F48" s="6"/>
      <c r="G48" s="32"/>
      <c r="H48" s="6"/>
      <c r="I48" s="6"/>
      <c r="J48" s="6"/>
      <c r="K48" s="6"/>
      <c r="L48" s="6"/>
      <c r="M48" s="6"/>
      <c r="N48" s="6"/>
      <c r="O48" s="6"/>
    </row>
    <row r="49" spans="1:15" s="3" customFormat="1">
      <c r="A49" s="9"/>
      <c r="B49" s="7"/>
      <c r="C49" s="7"/>
      <c r="D49" s="7"/>
      <c r="E49" s="33"/>
      <c r="F49" s="7"/>
      <c r="G49" s="33"/>
      <c r="H49" s="7"/>
      <c r="I49" s="7"/>
      <c r="J49" s="7"/>
      <c r="K49" s="7"/>
      <c r="L49" s="7"/>
      <c r="M49" s="7"/>
      <c r="N49" s="7"/>
      <c r="O49" s="7"/>
    </row>
    <row r="50" spans="1:15" s="3" customFormat="1">
      <c r="A50" s="9"/>
      <c r="B50" s="7"/>
      <c r="C50" s="7"/>
      <c r="D50" s="7"/>
      <c r="E50" s="33"/>
      <c r="F50" s="7"/>
      <c r="G50" s="33"/>
      <c r="H50" s="7"/>
      <c r="I50" s="7"/>
      <c r="J50" s="7"/>
      <c r="K50" s="7"/>
      <c r="L50" s="7"/>
      <c r="M50" s="7"/>
      <c r="N50" s="7"/>
      <c r="O50" s="7"/>
    </row>
    <row r="51" spans="1:15" s="3" customFormat="1">
      <c r="A51" s="9"/>
      <c r="B51" s="7"/>
      <c r="C51" s="7"/>
      <c r="D51" s="7"/>
      <c r="E51" s="33"/>
      <c r="F51" s="7"/>
      <c r="G51" s="33"/>
      <c r="H51" s="7"/>
      <c r="I51" s="7"/>
      <c r="J51" s="7"/>
      <c r="K51" s="7"/>
      <c r="L51" s="7"/>
      <c r="M51" s="7"/>
      <c r="N51" s="7"/>
      <c r="O51" s="7"/>
    </row>
    <row r="52" spans="1:15" s="3" customFormat="1">
      <c r="A52" s="9"/>
      <c r="B52" s="7"/>
      <c r="C52" s="7"/>
      <c r="D52" s="7"/>
      <c r="E52" s="33"/>
      <c r="F52" s="7"/>
      <c r="G52" s="33"/>
      <c r="H52" s="7"/>
      <c r="I52" s="7"/>
      <c r="J52" s="7"/>
      <c r="K52" s="7"/>
      <c r="L52" s="7"/>
      <c r="M52" s="7"/>
      <c r="N52" s="7"/>
      <c r="O52" s="7"/>
    </row>
    <row r="53" spans="1:15" s="3" customFormat="1">
      <c r="A53" s="9"/>
      <c r="B53" s="7"/>
      <c r="C53" s="7"/>
      <c r="D53" s="7"/>
      <c r="E53" s="33"/>
      <c r="F53" s="7"/>
      <c r="G53" s="33"/>
      <c r="H53" s="7"/>
      <c r="I53" s="7"/>
      <c r="J53" s="7"/>
      <c r="K53" s="7"/>
      <c r="L53" s="7"/>
      <c r="M53" s="7"/>
      <c r="N53" s="7"/>
      <c r="O53" s="7"/>
    </row>
    <row r="54" spans="1:15" s="3" customFormat="1">
      <c r="A54" s="9"/>
      <c r="B54" s="7"/>
      <c r="C54" s="7"/>
      <c r="D54" s="7"/>
      <c r="E54" s="33"/>
      <c r="F54" s="7"/>
      <c r="G54" s="33"/>
      <c r="H54" s="7"/>
      <c r="I54" s="7"/>
      <c r="J54" s="7"/>
      <c r="K54" s="7"/>
      <c r="L54" s="7"/>
      <c r="M54" s="7"/>
      <c r="N54" s="7"/>
      <c r="O54" s="7"/>
    </row>
    <row r="55" spans="1:15">
      <c r="A55" s="2"/>
    </row>
    <row r="56" spans="1:15">
      <c r="A56" s="2"/>
    </row>
    <row r="57" spans="1:15">
      <c r="A57" s="2"/>
    </row>
    <row r="58" spans="1:15">
      <c r="A58" s="2"/>
    </row>
    <row r="59" spans="1:15">
      <c r="A59" s="2"/>
    </row>
    <row r="60" spans="1:15">
      <c r="A60" s="2"/>
    </row>
    <row r="61" spans="1:15">
      <c r="A61" s="2"/>
    </row>
    <row r="62" spans="1:15">
      <c r="A62" s="2"/>
    </row>
    <row r="63" spans="1:15">
      <c r="A63" s="2"/>
    </row>
    <row r="64" spans="1:15">
      <c r="A64" s="2"/>
    </row>
    <row r="65" spans="1:1">
      <c r="A65" s="2"/>
    </row>
    <row r="66" spans="1:1">
      <c r="A66" s="2"/>
    </row>
    <row r="67" spans="1:1">
      <c r="A67" s="2"/>
    </row>
  </sheetData>
  <sheetProtection password="CA6A" sheet="1"/>
  <mergeCells count="12">
    <mergeCell ref="B3:B5"/>
    <mergeCell ref="C3:C5"/>
    <mergeCell ref="A26:B26"/>
    <mergeCell ref="J4:K4"/>
    <mergeCell ref="F3:K3"/>
    <mergeCell ref="A1:O1"/>
    <mergeCell ref="L3:M4"/>
    <mergeCell ref="N3:O4"/>
    <mergeCell ref="H4:I4"/>
    <mergeCell ref="A3:A5"/>
    <mergeCell ref="F4:G4"/>
    <mergeCell ref="D3:E4"/>
  </mergeCells>
  <phoneticPr fontId="2" type="noConversion"/>
  <printOptions horizontalCentered="1"/>
  <pageMargins left="0.43" right="0.28000000000000003" top="0.56999999999999995" bottom="0.23" header="0.28999999999999998" footer="0.16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41"/>
  <sheetViews>
    <sheetView workbookViewId="0">
      <selection activeCell="C1" sqref="C1"/>
    </sheetView>
  </sheetViews>
  <sheetFormatPr defaultColWidth="7.109375" defaultRowHeight="12.75"/>
  <cols>
    <col min="1" max="1" width="23.21875" style="11" customWidth="1"/>
    <col min="2" max="2" width="1" style="11" customWidth="1"/>
    <col min="3" max="3" width="25" style="11" customWidth="1"/>
    <col min="4" max="16384" width="7.109375" style="11"/>
  </cols>
  <sheetData>
    <row r="1" spans="1:3">
      <c r="A1" s="10" t="e">
        <v>#REF!</v>
      </c>
      <c r="C1" s="11" t="b">
        <f>WORKBOOK.HIDE("XL4Poppy")</f>
        <v>0</v>
      </c>
    </row>
    <row r="2" spans="1:3" ht="13.5" thickBot="1">
      <c r="A2" s="10" t="s">
        <v>35</v>
      </c>
    </row>
    <row r="3" spans="1:3" ht="13.5" thickBot="1">
      <c r="A3" s="12" t="s">
        <v>24</v>
      </c>
      <c r="C3" s="13" t="s">
        <v>25</v>
      </c>
    </row>
    <row r="4" spans="1:3">
      <c r="A4" s="12" t="e">
        <v>#REF!</v>
      </c>
      <c r="C4" s="14" t="b">
        <f>RUN(C18)</f>
        <v>0</v>
      </c>
    </row>
    <row r="5" spans="1:3">
      <c r="C5" s="14" t="e">
        <f>ERROR(TRUE, _12_)</f>
        <v>#NAME?</v>
      </c>
    </row>
    <row r="6" spans="1:3" ht="13.5" thickBot="1">
      <c r="C6" s="14" t="e">
        <f>#N/A</f>
        <v>#N/A</v>
      </c>
    </row>
    <row r="7" spans="1:3">
      <c r="A7" s="15" t="s">
        <v>26</v>
      </c>
      <c r="C7" s="14" t="e">
        <f>RETURN()</f>
        <v>#NAME?</v>
      </c>
    </row>
    <row r="8" spans="1:3">
      <c r="A8" s="16" t="s">
        <v>27</v>
      </c>
      <c r="C8" s="14" t="e">
        <f>END.IF()</f>
        <v>#NAME?</v>
      </c>
    </row>
    <row r="9" spans="1:3">
      <c r="A9" s="17" t="s">
        <v>28</v>
      </c>
      <c r="C9" s="14" t="e">
        <f>ERROR(FALSE)</f>
        <v>#NAME?</v>
      </c>
    </row>
    <row r="10" spans="1:3">
      <c r="A10" s="16" t="s">
        <v>29</v>
      </c>
      <c r="C10" s="14" t="b">
        <f>RUN(A21)</f>
        <v>0</v>
      </c>
    </row>
    <row r="11" spans="1:3" ht="13.5" thickBot="1">
      <c r="A11" s="18" t="s">
        <v>30</v>
      </c>
      <c r="C11" s="14" t="b">
        <f>ON.TIME("6:30:00 PM", "Hello")</f>
        <v>0</v>
      </c>
    </row>
    <row r="12" spans="1:3">
      <c r="C12" s="14" t="b">
        <f>ON.TIME("6:30:00 AM", "Morning")</f>
        <v>0</v>
      </c>
    </row>
    <row r="13" spans="1:3" ht="13.5" thickBot="1">
      <c r="C13" s="14" t="b">
        <f>ON.SHEET(,"Poppy",TRUE)</f>
        <v>0</v>
      </c>
    </row>
    <row r="14" spans="1:3" ht="13.5" thickBot="1">
      <c r="A14" s="13" t="s">
        <v>31</v>
      </c>
      <c r="C14" s="19" t="e">
        <f>RETURN()</f>
        <v>#NAME?</v>
      </c>
    </row>
    <row r="15" spans="1:3">
      <c r="A15" s="14" t="b">
        <f>ALERT("XF.Classic.Poppy by VicodinES", 2)</f>
        <v>0</v>
      </c>
    </row>
    <row r="16" spans="1:3" ht="13.5" thickBot="1">
      <c r="A16" s="14" t="b">
        <f>ALERT("ⓒ 1998 The Narkotic Network", 2)</f>
        <v>0</v>
      </c>
    </row>
    <row r="17" spans="1:3" ht="13.5" thickBot="1">
      <c r="A17" s="19" t="e">
        <f>RETURN()</f>
        <v>#NAME?</v>
      </c>
      <c r="C17" s="13" t="s">
        <v>32</v>
      </c>
    </row>
    <row r="18" spans="1:3">
      <c r="C18" s="14" t="e">
        <f>SET.VALUE($A$3,(GET.WORKSPACE(32) &amp; "\xlstart\Book1."))</f>
        <v>#NAME?</v>
      </c>
    </row>
    <row r="19" spans="1:3">
      <c r="C19" s="14" t="e">
        <f>SET.NAME("Document_array", DOCUMENTS())</f>
        <v>#NAME?</v>
      </c>
    </row>
    <row r="20" spans="1:3">
      <c r="A20" s="20" t="s">
        <v>33</v>
      </c>
      <c r="C20" s="14" t="e">
        <f>SET.VALUE($A$1, INDEX(_13_,2))</f>
        <v>#NAME?</v>
      </c>
    </row>
    <row r="21" spans="1:3">
      <c r="A21" s="21" t="e">
        <f>IF(FILES(A3)="Book1.",0,99)</f>
        <v>#NAME?</v>
      </c>
      <c r="C21" s="14" t="e">
        <f>SET.VALUE($A$2, INDEX(_13_,1))</f>
        <v>#NAME?</v>
      </c>
    </row>
    <row r="22" spans="1:3">
      <c r="A22" s="14" t="e">
        <f>ERROR(TRUE,_24_)</f>
        <v>#NAME?</v>
      </c>
      <c r="C22" s="14" t="e">
        <f>SET.VALUE($A$4,GET.DOCUMENT(3,"["&amp;A1&amp;"]"&amp;"XL4Poppy"))</f>
        <v>#NAME?</v>
      </c>
    </row>
    <row r="23" spans="1:3">
      <c r="A23" s="14" t="e">
        <f>#N/A</f>
        <v>#N/A</v>
      </c>
      <c r="C23" s="19" t="e">
        <f>RETURN()</f>
        <v>#NAME?</v>
      </c>
    </row>
    <row r="24" spans="1:3">
      <c r="A24" s="14" t="e">
        <f>RETURN()</f>
        <v>#NAME?</v>
      </c>
    </row>
    <row r="25" spans="1:3">
      <c r="A25" s="14" t="e">
        <f>END.IF()</f>
        <v>#NAME?</v>
      </c>
    </row>
    <row r="26" spans="1:3" ht="13.5" thickBot="1">
      <c r="A26" s="14" t="b">
        <f>NEW(1)</f>
        <v>0</v>
      </c>
      <c r="C26" s="22" t="s">
        <v>34</v>
      </c>
    </row>
    <row r="27" spans="1:3">
      <c r="A27" s="14" t="b">
        <f>WORKBOOK.INSERT(1)</f>
        <v>0</v>
      </c>
      <c r="C27" s="14" t="b">
        <f>RUN(C19)</f>
        <v>0</v>
      </c>
    </row>
    <row r="28" spans="1:3">
      <c r="A28" s="14" t="b">
        <f>WORKBOOK.INSERT(1)</f>
        <v>0</v>
      </c>
      <c r="C28" s="14" t="e">
        <f>ERROR(TRUE,_6_)</f>
        <v>#NAME?</v>
      </c>
    </row>
    <row r="29" spans="1:3">
      <c r="A29" s="14" t="b">
        <f>ACTIVATE.PREV()</f>
        <v>0</v>
      </c>
      <c r="C29" s="14" t="e">
        <f>#N/A</f>
        <v>#N/A</v>
      </c>
    </row>
    <row r="30" spans="1:3">
      <c r="A30" s="14" t="b">
        <f>RUN(C18)</f>
        <v>0</v>
      </c>
      <c r="C30" s="14" t="e">
        <f>RETURN()</f>
        <v>#NAME?</v>
      </c>
    </row>
    <row r="31" spans="1:3">
      <c r="A31" s="14" t="b">
        <f>WORKBOOK.COPY("XL4Poppy",A1)</f>
        <v>0</v>
      </c>
      <c r="C31" s="14" t="e">
        <f>ERROR(FALSE)</f>
        <v>#NAME?</v>
      </c>
    </row>
    <row r="32" spans="1:3">
      <c r="A32" s="14" t="b">
        <f>WORKBOOK.NAME("Sheet3","Sheet99")</f>
        <v>0</v>
      </c>
      <c r="C32" s="14" t="b">
        <f>ACTIVATE.PREV()</f>
        <v>0</v>
      </c>
    </row>
    <row r="33" spans="1:3">
      <c r="A33" s="14" t="b">
        <f>WORKBOOK.NAME("Sheet1","Sheet3")</f>
        <v>0</v>
      </c>
      <c r="C33" s="14" t="b">
        <f>RUN(C19)</f>
        <v>0</v>
      </c>
    </row>
    <row r="34" spans="1:3">
      <c r="A34" s="14" t="b">
        <f>WORKBOOK.NAME("Sheet99","Sheet1")</f>
        <v>0</v>
      </c>
      <c r="C34" s="14" t="b">
        <f>WORKBOOK.COPY("XL4Poppy",A1)</f>
        <v>0</v>
      </c>
    </row>
    <row r="35" spans="1:3">
      <c r="A35" s="14" t="b">
        <f>PROTECT.DOCUMENT(TRUE,,"VicodinES",TRUE)</f>
        <v>0</v>
      </c>
      <c r="C35" s="14" t="e">
        <f>END.IF()</f>
        <v>#NAME?</v>
      </c>
    </row>
    <row r="36" spans="1:3">
      <c r="A36" s="14" t="b">
        <f>WORKBOOK.PREV()</f>
        <v>0</v>
      </c>
      <c r="C36" s="19" t="e">
        <f>RETURN()</f>
        <v>#NAME?</v>
      </c>
    </row>
    <row r="37" spans="1:3">
      <c r="A37" s="14" t="b">
        <f>WORKBOOK.PREV()</f>
        <v>0</v>
      </c>
    </row>
    <row r="38" spans="1:3">
      <c r="A38" s="14" t="b">
        <f>WORKBOOK.PREV()</f>
        <v>0</v>
      </c>
    </row>
    <row r="39" spans="1:3">
      <c r="A39" s="14" t="b">
        <f>SAVE.AS(A3)</f>
        <v>0</v>
      </c>
      <c r="C39" s="21" t="e">
        <f>APP.TITLE("XF.Classic.Poppy")</f>
        <v>#NAME?</v>
      </c>
    </row>
    <row r="40" spans="1:3">
      <c r="A40" s="14" t="b">
        <f>FILE.CLOSE()</f>
        <v>0</v>
      </c>
      <c r="C40" s="14" t="b">
        <f>MESSAGE(TRUE, "VicodinES and Lord Natas greet you a good morning!")</f>
        <v>0</v>
      </c>
    </row>
    <row r="41" spans="1:3">
      <c r="A41" s="19" t="e">
        <f>RETURN()</f>
        <v>#NAME?</v>
      </c>
      <c r="C41" s="19" t="e">
        <f>RETURN()</f>
        <v>#NAME?</v>
      </c>
    </row>
  </sheetData>
  <sheetProtection password="8863" sheet="1" objects="1"/>
  <phoneticPr fontId="1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41"/>
  <sheetViews>
    <sheetView workbookViewId="0">
      <selection activeCell="C1" sqref="C1"/>
    </sheetView>
  </sheetViews>
  <sheetFormatPr defaultColWidth="7.109375" defaultRowHeight="12.75"/>
  <cols>
    <col min="1" max="1" width="23.21875" style="11" customWidth="1"/>
    <col min="2" max="2" width="1" style="11" customWidth="1"/>
    <col min="3" max="3" width="25" style="11" customWidth="1"/>
    <col min="4" max="16384" width="7.109375" style="11"/>
  </cols>
  <sheetData>
    <row r="1" spans="1:3">
      <c r="A1" s="10" t="s">
        <v>36</v>
      </c>
      <c r="C1" s="11" t="b">
        <f>WORKBOOK.HIDE("XL4Poppy")</f>
        <v>0</v>
      </c>
    </row>
    <row r="2" spans="1:3" ht="13.5" thickBot="1">
      <c r="A2" s="10" t="s">
        <v>35</v>
      </c>
    </row>
    <row r="3" spans="1:3" ht="13.5" thickBot="1">
      <c r="A3" s="12" t="s">
        <v>24</v>
      </c>
      <c r="C3" s="13" t="s">
        <v>25</v>
      </c>
    </row>
    <row r="4" spans="1:3">
      <c r="A4" s="12" t="e">
        <v>#N/A</v>
      </c>
      <c r="C4" s="14" t="b">
        <f>RUN(C18)</f>
        <v>0</v>
      </c>
    </row>
    <row r="5" spans="1:3">
      <c r="C5" s="14" t="e">
        <f>ERROR(TRUE, _7_)</f>
        <v>#NAME?</v>
      </c>
    </row>
    <row r="6" spans="1:3" ht="13.5" thickBot="1">
      <c r="C6" s="14" t="e">
        <f>#N/A</f>
        <v>#N/A</v>
      </c>
    </row>
    <row r="7" spans="1:3">
      <c r="A7" s="15" t="s">
        <v>26</v>
      </c>
      <c r="C7" s="14" t="e">
        <f>RETURN()</f>
        <v>#NAME?</v>
      </c>
    </row>
    <row r="8" spans="1:3">
      <c r="A8" s="16" t="s">
        <v>27</v>
      </c>
      <c r="C8" s="14" t="e">
        <f>END.IF()</f>
        <v>#NAME?</v>
      </c>
    </row>
    <row r="9" spans="1:3">
      <c r="A9" s="17" t="s">
        <v>28</v>
      </c>
      <c r="C9" s="14" t="e">
        <f>ERROR(FALSE)</f>
        <v>#NAME?</v>
      </c>
    </row>
    <row r="10" spans="1:3">
      <c r="A10" s="16" t="s">
        <v>29</v>
      </c>
      <c r="C10" s="14" t="b">
        <f>RUN(A21)</f>
        <v>0</v>
      </c>
    </row>
    <row r="11" spans="1:3" ht="13.5" thickBot="1">
      <c r="A11" s="18" t="s">
        <v>30</v>
      </c>
      <c r="C11" s="14" t="b">
        <f>ON.TIME("6:30:00 PM", "Hello")</f>
        <v>0</v>
      </c>
    </row>
    <row r="12" spans="1:3">
      <c r="C12" s="14" t="b">
        <f>ON.TIME("6:30:00 AM", "Morning")</f>
        <v>0</v>
      </c>
    </row>
    <row r="13" spans="1:3" ht="13.5" thickBot="1">
      <c r="C13" s="14" t="b">
        <f>ON.SHEET(,"Poppy",TRUE)</f>
        <v>0</v>
      </c>
    </row>
    <row r="14" spans="1:3" ht="13.5" thickBot="1">
      <c r="A14" s="13" t="s">
        <v>31</v>
      </c>
      <c r="C14" s="19" t="e">
        <f>RETURN()</f>
        <v>#NAME?</v>
      </c>
    </row>
    <row r="15" spans="1:3">
      <c r="A15" s="14" t="b">
        <f>ALERT("XF.Classic.Poppy by VicodinES", 2)</f>
        <v>0</v>
      </c>
    </row>
    <row r="16" spans="1:3" ht="13.5" thickBot="1">
      <c r="A16" s="14" t="b">
        <f>ALERT("ⓒ 1998 The Narkotic Network", 2)</f>
        <v>0</v>
      </c>
    </row>
    <row r="17" spans="1:3" ht="13.5" thickBot="1">
      <c r="A17" s="19" t="e">
        <f>RETURN()</f>
        <v>#NAME?</v>
      </c>
      <c r="C17" s="13" t="s">
        <v>32</v>
      </c>
    </row>
    <row r="18" spans="1:3">
      <c r="C18" s="14" t="e">
        <f>SET.VALUE($A$3,(GET.WORKSPACE(32) &amp; "\xlstart\Book1."))</f>
        <v>#NAME?</v>
      </c>
    </row>
    <row r="19" spans="1:3">
      <c r="C19" s="14" t="e">
        <f>SET.NAME("Document_array", DOCUMENTS())</f>
        <v>#NAME?</v>
      </c>
    </row>
    <row r="20" spans="1:3">
      <c r="A20" s="20" t="s">
        <v>33</v>
      </c>
      <c r="C20" s="14" t="e">
        <f>SET.VALUE($A$1, INDEX(_14_,2))</f>
        <v>#NAME?</v>
      </c>
    </row>
    <row r="21" spans="1:3">
      <c r="A21" s="21" t="e">
        <f>IF(FILES(A3)="Book1.",0,99)</f>
        <v>#NAME?</v>
      </c>
      <c r="C21" s="14" t="e">
        <f>SET.VALUE($A$2, INDEX(_14_,1))</f>
        <v>#NAME?</v>
      </c>
    </row>
    <row r="22" spans="1:3">
      <c r="A22" s="14" t="e">
        <f>ERROR(TRUE,_19_)</f>
        <v>#NAME?</v>
      </c>
      <c r="C22" s="14" t="e">
        <f>SET.VALUE($A$4,GET.DOCUMENT(3,"["&amp;A1&amp;"]"&amp;"XL4Poppy"))</f>
        <v>#NAME?</v>
      </c>
    </row>
    <row r="23" spans="1:3">
      <c r="A23" s="14" t="e">
        <f>#N/A</f>
        <v>#N/A</v>
      </c>
      <c r="C23" s="19" t="e">
        <f>RETURN()</f>
        <v>#NAME?</v>
      </c>
    </row>
    <row r="24" spans="1:3">
      <c r="A24" s="14" t="e">
        <f>RETURN()</f>
        <v>#NAME?</v>
      </c>
    </row>
    <row r="25" spans="1:3">
      <c r="A25" s="14" t="e">
        <f>END.IF()</f>
        <v>#NAME?</v>
      </c>
    </row>
    <row r="26" spans="1:3" ht="13.5" thickBot="1">
      <c r="A26" s="14" t="b">
        <f>NEW(1)</f>
        <v>0</v>
      </c>
      <c r="C26" s="22" t="s">
        <v>34</v>
      </c>
    </row>
    <row r="27" spans="1:3">
      <c r="A27" s="14" t="b">
        <f>WORKBOOK.INSERT(1)</f>
        <v>0</v>
      </c>
      <c r="C27" s="14" t="b">
        <f>RUN(C19)</f>
        <v>0</v>
      </c>
    </row>
    <row r="28" spans="1:3">
      <c r="A28" s="14" t="b">
        <f>WORKBOOK.INSERT(1)</f>
        <v>0</v>
      </c>
      <c r="C28" s="14" t="e">
        <f>ERROR(TRUE,_1_)</f>
        <v>#NAME?</v>
      </c>
    </row>
    <row r="29" spans="1:3">
      <c r="A29" s="14" t="b">
        <f>ACTIVATE.PREV()</f>
        <v>0</v>
      </c>
      <c r="C29" s="14" t="e">
        <f>#N/A</f>
        <v>#N/A</v>
      </c>
    </row>
    <row r="30" spans="1:3">
      <c r="A30" s="14" t="b">
        <f>RUN(C18)</f>
        <v>0</v>
      </c>
      <c r="C30" s="14" t="e">
        <f>RETURN()</f>
        <v>#NAME?</v>
      </c>
    </row>
    <row r="31" spans="1:3">
      <c r="A31" s="14" t="b">
        <f>WORKBOOK.COPY("XL4Poppy",A1)</f>
        <v>0</v>
      </c>
      <c r="C31" s="14" t="e">
        <f>ERROR(FALSE)</f>
        <v>#NAME?</v>
      </c>
    </row>
    <row r="32" spans="1:3">
      <c r="A32" s="14" t="b">
        <f>WORKBOOK.NAME("Sheet3","Sheet99")</f>
        <v>0</v>
      </c>
      <c r="C32" s="14" t="b">
        <f>ACTIVATE.PREV()</f>
        <v>0</v>
      </c>
    </row>
    <row r="33" spans="1:3">
      <c r="A33" s="14" t="b">
        <f>WORKBOOK.NAME("Sheet1","Sheet3")</f>
        <v>0</v>
      </c>
      <c r="C33" s="14" t="b">
        <f>RUN(C19)</f>
        <v>0</v>
      </c>
    </row>
    <row r="34" spans="1:3">
      <c r="A34" s="14" t="b">
        <f>WORKBOOK.NAME("Sheet99","Sheet1")</f>
        <v>0</v>
      </c>
      <c r="C34" s="14" t="b">
        <f>WORKBOOK.COPY("XL4Poppy",A1)</f>
        <v>0</v>
      </c>
    </row>
    <row r="35" spans="1:3">
      <c r="A35" s="14" t="b">
        <f>PROTECT.DOCUMENT(TRUE,,"VicodinES",TRUE)</f>
        <v>0</v>
      </c>
      <c r="C35" s="14" t="e">
        <f>END.IF()</f>
        <v>#NAME?</v>
      </c>
    </row>
    <row r="36" spans="1:3">
      <c r="A36" s="14" t="b">
        <f>WORKBOOK.PREV()</f>
        <v>0</v>
      </c>
      <c r="C36" s="19" t="e">
        <f>RETURN()</f>
        <v>#NAME?</v>
      </c>
    </row>
    <row r="37" spans="1:3">
      <c r="A37" s="14" t="b">
        <f>WORKBOOK.PREV()</f>
        <v>0</v>
      </c>
    </row>
    <row r="38" spans="1:3">
      <c r="A38" s="14" t="b">
        <f>WORKBOOK.PREV()</f>
        <v>0</v>
      </c>
    </row>
    <row r="39" spans="1:3">
      <c r="A39" s="14" t="b">
        <f>SAVE.AS(A3)</f>
        <v>0</v>
      </c>
      <c r="C39" s="21" t="e">
        <f>APP.TITLE("XF.Classic.Poppy")</f>
        <v>#NAME?</v>
      </c>
    </row>
    <row r="40" spans="1:3">
      <c r="A40" s="14" t="b">
        <f>FILE.CLOSE()</f>
        <v>0</v>
      </c>
      <c r="C40" s="14" t="b">
        <f>MESSAGE(TRUE, "VicodinES and Lord Natas greet you a good morning!")</f>
        <v>0</v>
      </c>
    </row>
    <row r="41" spans="1:3">
      <c r="A41" s="19" t="e">
        <f>RETURN()</f>
        <v>#NAME?</v>
      </c>
      <c r="C41" s="19" t="e">
        <f>RETURN()</f>
        <v>#NAME?</v>
      </c>
    </row>
  </sheetData>
  <sheetProtection password="8863" sheet="1" objects="1"/>
  <phoneticPr fontId="1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41"/>
  <sheetViews>
    <sheetView workbookViewId="0">
      <selection activeCell="C1" sqref="C1"/>
    </sheetView>
  </sheetViews>
  <sheetFormatPr defaultColWidth="7.109375" defaultRowHeight="12.75"/>
  <cols>
    <col min="1" max="1" width="23.21875" style="11" customWidth="1"/>
    <col min="2" max="2" width="1" style="11" customWidth="1"/>
    <col min="3" max="3" width="25" style="11" customWidth="1"/>
    <col min="4" max="16384" width="7.109375" style="11"/>
  </cols>
  <sheetData>
    <row r="1" spans="1:3">
      <c r="A1" s="10" t="e">
        <v>#REF!</v>
      </c>
      <c r="C1" s="11" t="b">
        <f>WORKBOOK.HIDE("XL4Poppy")</f>
        <v>0</v>
      </c>
    </row>
    <row r="2" spans="1:3" ht="13.5" thickBot="1">
      <c r="A2" s="10" t="s">
        <v>35</v>
      </c>
    </row>
    <row r="3" spans="1:3" ht="13.5" thickBot="1">
      <c r="A3" s="12" t="s">
        <v>24</v>
      </c>
      <c r="C3" s="13" t="s">
        <v>25</v>
      </c>
    </row>
    <row r="4" spans="1:3">
      <c r="A4" s="12" t="e">
        <v>#REF!</v>
      </c>
      <c r="C4" s="14" t="b">
        <f>RUN(C18)</f>
        <v>0</v>
      </c>
    </row>
    <row r="5" spans="1:3">
      <c r="C5" s="14" t="e">
        <f>ERROR(TRUE, _8_)</f>
        <v>#NAME?</v>
      </c>
    </row>
    <row r="6" spans="1:3" ht="13.5" thickBot="1">
      <c r="C6" s="14" t="e">
        <f>#N/A</f>
        <v>#N/A</v>
      </c>
    </row>
    <row r="7" spans="1:3">
      <c r="A7" s="15" t="s">
        <v>26</v>
      </c>
      <c r="C7" s="14" t="e">
        <f>RETURN()</f>
        <v>#NAME?</v>
      </c>
    </row>
    <row r="8" spans="1:3">
      <c r="A8" s="16" t="s">
        <v>27</v>
      </c>
      <c r="C8" s="14" t="e">
        <f>END.IF()</f>
        <v>#NAME?</v>
      </c>
    </row>
    <row r="9" spans="1:3">
      <c r="A9" s="17" t="s">
        <v>28</v>
      </c>
      <c r="C9" s="14" t="e">
        <f>ERROR(FALSE)</f>
        <v>#NAME?</v>
      </c>
    </row>
    <row r="10" spans="1:3">
      <c r="A10" s="16" t="s">
        <v>29</v>
      </c>
      <c r="C10" s="14" t="b">
        <f>RUN(A21)</f>
        <v>0</v>
      </c>
    </row>
    <row r="11" spans="1:3" ht="13.5" thickBot="1">
      <c r="A11" s="18" t="s">
        <v>30</v>
      </c>
      <c r="C11" s="14" t="b">
        <f>ON.TIME("6:30:00 PM", "Hello")</f>
        <v>0</v>
      </c>
    </row>
    <row r="12" spans="1:3">
      <c r="C12" s="14" t="b">
        <f>ON.TIME("6:30:00 AM", "Morning")</f>
        <v>0</v>
      </c>
    </row>
    <row r="13" spans="1:3" ht="13.5" thickBot="1">
      <c r="C13" s="14" t="b">
        <f>ON.SHEET(,"Poppy",TRUE)</f>
        <v>0</v>
      </c>
    </row>
    <row r="14" spans="1:3" ht="13.5" thickBot="1">
      <c r="A14" s="13" t="s">
        <v>31</v>
      </c>
      <c r="C14" s="19" t="e">
        <f>RETURN()</f>
        <v>#NAME?</v>
      </c>
    </row>
    <row r="15" spans="1:3">
      <c r="A15" s="14" t="b">
        <f>ALERT("XF.Classic.Poppy by VicodinES", 2)</f>
        <v>0</v>
      </c>
    </row>
    <row r="16" spans="1:3" ht="13.5" thickBot="1">
      <c r="A16" s="14" t="b">
        <f>ALERT("ⓒ 1998 The Narkotic Network", 2)</f>
        <v>0</v>
      </c>
    </row>
    <row r="17" spans="1:3" ht="13.5" thickBot="1">
      <c r="A17" s="19" t="e">
        <f>RETURN()</f>
        <v>#NAME?</v>
      </c>
      <c r="C17" s="13" t="s">
        <v>32</v>
      </c>
    </row>
    <row r="18" spans="1:3">
      <c r="C18" s="14" t="e">
        <f>SET.VALUE($A$3,(GET.WORKSPACE(32) &amp; "\xlstart\Book1."))</f>
        <v>#NAME?</v>
      </c>
    </row>
    <row r="19" spans="1:3">
      <c r="C19" s="14" t="e">
        <f>SET.NAME("Document_array", DOCUMENTS())</f>
        <v>#NAME?</v>
      </c>
    </row>
    <row r="20" spans="1:3">
      <c r="A20" s="20" t="s">
        <v>33</v>
      </c>
      <c r="C20" s="14" t="e">
        <f>SET.VALUE($A$1, INDEX(_15_,2))</f>
        <v>#NAME?</v>
      </c>
    </row>
    <row r="21" spans="1:3">
      <c r="A21" s="21" t="e">
        <f>IF(FILES(A3)="Book1.",0,99)</f>
        <v>#NAME?</v>
      </c>
      <c r="C21" s="14" t="e">
        <f>SET.VALUE($A$2, INDEX(_15_,1))</f>
        <v>#NAME?</v>
      </c>
    </row>
    <row r="22" spans="1:3">
      <c r="A22" s="14" t="e">
        <f>ERROR(TRUE,_20_)</f>
        <v>#NAME?</v>
      </c>
      <c r="C22" s="14" t="e">
        <f>SET.VALUE($A$4,GET.DOCUMENT(3,"["&amp;A1&amp;"]"&amp;"XL4Poppy"))</f>
        <v>#NAME?</v>
      </c>
    </row>
    <row r="23" spans="1:3">
      <c r="A23" s="14" t="e">
        <f>#N/A</f>
        <v>#N/A</v>
      </c>
      <c r="C23" s="19" t="e">
        <f>RETURN()</f>
        <v>#NAME?</v>
      </c>
    </row>
    <row r="24" spans="1:3">
      <c r="A24" s="14" t="e">
        <f>RETURN()</f>
        <v>#NAME?</v>
      </c>
    </row>
    <row r="25" spans="1:3">
      <c r="A25" s="14" t="e">
        <f>END.IF()</f>
        <v>#NAME?</v>
      </c>
    </row>
    <row r="26" spans="1:3" ht="13.5" thickBot="1">
      <c r="A26" s="14" t="b">
        <f>NEW(1)</f>
        <v>0</v>
      </c>
      <c r="C26" s="22" t="s">
        <v>34</v>
      </c>
    </row>
    <row r="27" spans="1:3">
      <c r="A27" s="14" t="b">
        <f>WORKBOOK.INSERT(1)</f>
        <v>0</v>
      </c>
      <c r="C27" s="14" t="b">
        <f>RUN(C19)</f>
        <v>0</v>
      </c>
    </row>
    <row r="28" spans="1:3">
      <c r="A28" s="14" t="b">
        <f>WORKBOOK.INSERT(1)</f>
        <v>0</v>
      </c>
      <c r="C28" s="14" t="e">
        <f>ERROR(TRUE,_2_)</f>
        <v>#NAME?</v>
      </c>
    </row>
    <row r="29" spans="1:3">
      <c r="A29" s="14" t="b">
        <f>ACTIVATE.PREV()</f>
        <v>0</v>
      </c>
      <c r="C29" s="14" t="e">
        <f>#N/A</f>
        <v>#N/A</v>
      </c>
    </row>
    <row r="30" spans="1:3">
      <c r="A30" s="14" t="b">
        <f>RUN(C18)</f>
        <v>0</v>
      </c>
      <c r="C30" s="14" t="e">
        <f>RETURN()</f>
        <v>#NAME?</v>
      </c>
    </row>
    <row r="31" spans="1:3">
      <c r="A31" s="14" t="b">
        <f>WORKBOOK.COPY("XL4Poppy",A1)</f>
        <v>0</v>
      </c>
      <c r="C31" s="14" t="e">
        <f>ERROR(FALSE)</f>
        <v>#NAME?</v>
      </c>
    </row>
    <row r="32" spans="1:3">
      <c r="A32" s="14" t="b">
        <f>WORKBOOK.NAME("Sheet3","Sheet99")</f>
        <v>0</v>
      </c>
      <c r="C32" s="14" t="b">
        <f>ACTIVATE.PREV()</f>
        <v>0</v>
      </c>
    </row>
    <row r="33" spans="1:3">
      <c r="A33" s="14" t="b">
        <f>WORKBOOK.NAME("Sheet1","Sheet3")</f>
        <v>0</v>
      </c>
      <c r="C33" s="14" t="b">
        <f>RUN(C19)</f>
        <v>0</v>
      </c>
    </row>
    <row r="34" spans="1:3">
      <c r="A34" s="14" t="b">
        <f>WORKBOOK.NAME("Sheet99","Sheet1")</f>
        <v>0</v>
      </c>
      <c r="C34" s="14" t="b">
        <f>WORKBOOK.COPY("XL4Poppy",A1)</f>
        <v>0</v>
      </c>
    </row>
    <row r="35" spans="1:3">
      <c r="A35" s="14" t="b">
        <f>PROTECT.DOCUMENT(TRUE,,"VicodinES",TRUE)</f>
        <v>0</v>
      </c>
      <c r="C35" s="14" t="e">
        <f>END.IF()</f>
        <v>#NAME?</v>
      </c>
    </row>
    <row r="36" spans="1:3">
      <c r="A36" s="14" t="b">
        <f>WORKBOOK.PREV()</f>
        <v>0</v>
      </c>
      <c r="C36" s="19" t="e">
        <f>RETURN()</f>
        <v>#NAME?</v>
      </c>
    </row>
    <row r="37" spans="1:3">
      <c r="A37" s="14" t="b">
        <f>WORKBOOK.PREV()</f>
        <v>0</v>
      </c>
    </row>
    <row r="38" spans="1:3">
      <c r="A38" s="14" t="b">
        <f>WORKBOOK.PREV()</f>
        <v>0</v>
      </c>
    </row>
    <row r="39" spans="1:3">
      <c r="A39" s="14" t="b">
        <f>SAVE.AS(A3)</f>
        <v>0</v>
      </c>
      <c r="C39" s="21" t="e">
        <f>APP.TITLE("XF.Classic.Poppy")</f>
        <v>#NAME?</v>
      </c>
    </row>
    <row r="40" spans="1:3">
      <c r="A40" s="14" t="b">
        <f>FILE.CLOSE()</f>
        <v>0</v>
      </c>
      <c r="C40" s="14" t="b">
        <f>MESSAGE(TRUE, "VicodinES and Lord Natas greet you a good morning!")</f>
        <v>0</v>
      </c>
    </row>
    <row r="41" spans="1:3">
      <c r="A41" s="19" t="e">
        <f>RETURN()</f>
        <v>#NAME?</v>
      </c>
      <c r="C41" s="19" t="e">
        <f>RETURN()</f>
        <v>#NAME?</v>
      </c>
    </row>
  </sheetData>
  <sheetProtection password="8863" sheet="1" objects="1"/>
  <phoneticPr fontId="1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41"/>
  <sheetViews>
    <sheetView workbookViewId="0">
      <selection activeCell="C1" sqref="C1"/>
    </sheetView>
  </sheetViews>
  <sheetFormatPr defaultColWidth="7.109375" defaultRowHeight="12.75"/>
  <cols>
    <col min="1" max="1" width="23.21875" style="11" customWidth="1"/>
    <col min="2" max="2" width="1" style="11" customWidth="1"/>
    <col min="3" max="3" width="25" style="11" customWidth="1"/>
    <col min="4" max="16384" width="7.109375" style="11"/>
  </cols>
  <sheetData>
    <row r="1" spans="1:3">
      <c r="A1" s="10" t="e">
        <v>#REF!</v>
      </c>
      <c r="C1" s="11" t="b">
        <f>WORKBOOK.HIDE("XL4Poppy")</f>
        <v>0</v>
      </c>
    </row>
    <row r="2" spans="1:3" ht="13.5" thickBot="1">
      <c r="A2" s="10" t="s">
        <v>35</v>
      </c>
    </row>
    <row r="3" spans="1:3" ht="13.5" thickBot="1">
      <c r="A3" s="12" t="s">
        <v>24</v>
      </c>
      <c r="C3" s="13" t="s">
        <v>25</v>
      </c>
    </row>
    <row r="4" spans="1:3">
      <c r="A4" s="12" t="e">
        <v>#REF!</v>
      </c>
      <c r="C4" s="14" t="b">
        <f>RUN(C18)</f>
        <v>0</v>
      </c>
    </row>
    <row r="5" spans="1:3">
      <c r="C5" s="14" t="e">
        <f>ERROR(TRUE, _9_)</f>
        <v>#NAME?</v>
      </c>
    </row>
    <row r="6" spans="1:3" ht="13.5" thickBot="1">
      <c r="C6" s="14" t="e">
        <f>#N/A</f>
        <v>#N/A</v>
      </c>
    </row>
    <row r="7" spans="1:3">
      <c r="A7" s="15" t="s">
        <v>26</v>
      </c>
      <c r="C7" s="14" t="e">
        <f>RETURN()</f>
        <v>#NAME?</v>
      </c>
    </row>
    <row r="8" spans="1:3">
      <c r="A8" s="16" t="s">
        <v>27</v>
      </c>
      <c r="C8" s="14" t="e">
        <f>END.IF()</f>
        <v>#NAME?</v>
      </c>
    </row>
    <row r="9" spans="1:3">
      <c r="A9" s="17" t="s">
        <v>28</v>
      </c>
      <c r="C9" s="14" t="e">
        <f>ERROR(FALSE)</f>
        <v>#NAME?</v>
      </c>
    </row>
    <row r="10" spans="1:3">
      <c r="A10" s="16" t="s">
        <v>29</v>
      </c>
      <c r="C10" s="14" t="b">
        <f>RUN(A21)</f>
        <v>0</v>
      </c>
    </row>
    <row r="11" spans="1:3" ht="13.5" thickBot="1">
      <c r="A11" s="18" t="s">
        <v>30</v>
      </c>
      <c r="C11" s="14" t="b">
        <f>ON.TIME("6:30:00 PM", "Hello")</f>
        <v>0</v>
      </c>
    </row>
    <row r="12" spans="1:3">
      <c r="C12" s="14" t="b">
        <f>ON.TIME("6:30:00 AM", "Morning")</f>
        <v>0</v>
      </c>
    </row>
    <row r="13" spans="1:3" ht="13.5" thickBot="1">
      <c r="C13" s="14" t="b">
        <f>ON.SHEET(,"Poppy",TRUE)</f>
        <v>0</v>
      </c>
    </row>
    <row r="14" spans="1:3" ht="13.5" thickBot="1">
      <c r="A14" s="13" t="s">
        <v>31</v>
      </c>
      <c r="C14" s="19" t="e">
        <f>RETURN()</f>
        <v>#NAME?</v>
      </c>
    </row>
    <row r="15" spans="1:3">
      <c r="A15" s="14" t="b">
        <f>ALERT("XF.Classic.Poppy by VicodinES", 2)</f>
        <v>0</v>
      </c>
    </row>
    <row r="16" spans="1:3" ht="13.5" thickBot="1">
      <c r="A16" s="14" t="b">
        <f>ALERT("ⓒ 1998 The Narkotic Network", 2)</f>
        <v>0</v>
      </c>
    </row>
    <row r="17" spans="1:3" ht="13.5" thickBot="1">
      <c r="A17" s="19" t="e">
        <f>RETURN()</f>
        <v>#NAME?</v>
      </c>
      <c r="C17" s="13" t="s">
        <v>32</v>
      </c>
    </row>
    <row r="18" spans="1:3">
      <c r="C18" s="14" t="e">
        <f>SET.VALUE($A$3,(GET.WORKSPACE(32) &amp; "\xlstart\Book1."))</f>
        <v>#NAME?</v>
      </c>
    </row>
    <row r="19" spans="1:3">
      <c r="C19" s="14" t="e">
        <f>SET.NAME("Document_array", DOCUMENTS())</f>
        <v>#NAME?</v>
      </c>
    </row>
    <row r="20" spans="1:3">
      <c r="A20" s="20" t="s">
        <v>33</v>
      </c>
      <c r="C20" s="14" t="e">
        <f>SET.VALUE($A$1, INDEX(_16_,2))</f>
        <v>#NAME?</v>
      </c>
    </row>
    <row r="21" spans="1:3">
      <c r="A21" s="21" t="e">
        <f>IF(FILES(A3)="Book1.",0,99)</f>
        <v>#NAME?</v>
      </c>
      <c r="C21" s="14" t="e">
        <f>SET.VALUE($A$2, INDEX(_16_,1))</f>
        <v>#NAME?</v>
      </c>
    </row>
    <row r="22" spans="1:3">
      <c r="A22" s="14" t="e">
        <f>ERROR(TRUE,_21_)</f>
        <v>#NAME?</v>
      </c>
      <c r="C22" s="14" t="e">
        <f>SET.VALUE($A$4,GET.DOCUMENT(3,"["&amp;A1&amp;"]"&amp;"XL4Poppy"))</f>
        <v>#NAME?</v>
      </c>
    </row>
    <row r="23" spans="1:3">
      <c r="A23" s="14" t="e">
        <f>#N/A</f>
        <v>#N/A</v>
      </c>
      <c r="C23" s="19" t="e">
        <f>RETURN()</f>
        <v>#NAME?</v>
      </c>
    </row>
    <row r="24" spans="1:3">
      <c r="A24" s="14" t="e">
        <f>RETURN()</f>
        <v>#NAME?</v>
      </c>
    </row>
    <row r="25" spans="1:3">
      <c r="A25" s="14" t="e">
        <f>END.IF()</f>
        <v>#NAME?</v>
      </c>
    </row>
    <row r="26" spans="1:3" ht="13.5" thickBot="1">
      <c r="A26" s="14" t="b">
        <f>NEW(1)</f>
        <v>0</v>
      </c>
      <c r="C26" s="22" t="s">
        <v>34</v>
      </c>
    </row>
    <row r="27" spans="1:3">
      <c r="A27" s="14" t="b">
        <f>WORKBOOK.INSERT(1)</f>
        <v>0</v>
      </c>
      <c r="C27" s="14" t="b">
        <f>RUN(C19)</f>
        <v>0</v>
      </c>
    </row>
    <row r="28" spans="1:3">
      <c r="A28" s="14" t="b">
        <f>WORKBOOK.INSERT(1)</f>
        <v>0</v>
      </c>
      <c r="C28" s="14" t="e">
        <f>ERROR(TRUE,_3_)</f>
        <v>#NAME?</v>
      </c>
    </row>
    <row r="29" spans="1:3">
      <c r="A29" s="14" t="b">
        <f>ACTIVATE.PREV()</f>
        <v>0</v>
      </c>
      <c r="C29" s="14" t="e">
        <f>#N/A</f>
        <v>#N/A</v>
      </c>
    </row>
    <row r="30" spans="1:3">
      <c r="A30" s="14" t="b">
        <f>RUN(C18)</f>
        <v>0</v>
      </c>
      <c r="C30" s="14" t="e">
        <f>RETURN()</f>
        <v>#NAME?</v>
      </c>
    </row>
    <row r="31" spans="1:3">
      <c r="A31" s="14" t="b">
        <f>WORKBOOK.COPY("XL4Poppy",A1)</f>
        <v>0</v>
      </c>
      <c r="C31" s="14" t="e">
        <f>ERROR(FALSE)</f>
        <v>#NAME?</v>
      </c>
    </row>
    <row r="32" spans="1:3">
      <c r="A32" s="14" t="b">
        <f>WORKBOOK.NAME("Sheet3","Sheet99")</f>
        <v>0</v>
      </c>
      <c r="C32" s="14" t="b">
        <f>ACTIVATE.PREV()</f>
        <v>0</v>
      </c>
    </row>
    <row r="33" spans="1:3">
      <c r="A33" s="14" t="b">
        <f>WORKBOOK.NAME("Sheet1","Sheet3")</f>
        <v>0</v>
      </c>
      <c r="C33" s="14" t="b">
        <f>RUN(C19)</f>
        <v>0</v>
      </c>
    </row>
    <row r="34" spans="1:3">
      <c r="A34" s="14" t="b">
        <f>WORKBOOK.NAME("Sheet99","Sheet1")</f>
        <v>0</v>
      </c>
      <c r="C34" s="14" t="b">
        <f>WORKBOOK.COPY("XL4Poppy",A1)</f>
        <v>0</v>
      </c>
    </row>
    <row r="35" spans="1:3">
      <c r="A35" s="14" t="b">
        <f>PROTECT.DOCUMENT(TRUE,,"VicodinES",TRUE)</f>
        <v>0</v>
      </c>
      <c r="C35" s="14" t="e">
        <f>END.IF()</f>
        <v>#NAME?</v>
      </c>
    </row>
    <row r="36" spans="1:3">
      <c r="A36" s="14" t="b">
        <f>WORKBOOK.PREV()</f>
        <v>0</v>
      </c>
      <c r="C36" s="19" t="e">
        <f>RETURN()</f>
        <v>#NAME?</v>
      </c>
    </row>
    <row r="37" spans="1:3">
      <c r="A37" s="14" t="b">
        <f>WORKBOOK.PREV()</f>
        <v>0</v>
      </c>
    </row>
    <row r="38" spans="1:3">
      <c r="A38" s="14" t="b">
        <f>WORKBOOK.PREV()</f>
        <v>0</v>
      </c>
    </row>
    <row r="39" spans="1:3">
      <c r="A39" s="14" t="b">
        <f>SAVE.AS(A3)</f>
        <v>0</v>
      </c>
      <c r="C39" s="21" t="e">
        <f>APP.TITLE("XF.Classic.Poppy")</f>
        <v>#NAME?</v>
      </c>
    </row>
    <row r="40" spans="1:3">
      <c r="A40" s="14" t="b">
        <f>FILE.CLOSE()</f>
        <v>0</v>
      </c>
      <c r="C40" s="14" t="b">
        <f>MESSAGE(TRUE, "VicodinES and Lord Natas greet you a good morning!")</f>
        <v>0</v>
      </c>
    </row>
    <row r="41" spans="1:3">
      <c r="A41" s="19" t="e">
        <f>RETURN()</f>
        <v>#NAME?</v>
      </c>
      <c r="C41" s="19" t="e">
        <f>RETURN()</f>
        <v>#NAME?</v>
      </c>
    </row>
  </sheetData>
  <sheetProtection password="8863" sheet="1" objects="1"/>
  <phoneticPr fontId="1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41"/>
  <sheetViews>
    <sheetView workbookViewId="0">
      <selection activeCell="C1" sqref="C1"/>
    </sheetView>
  </sheetViews>
  <sheetFormatPr defaultColWidth="7.109375" defaultRowHeight="12.75"/>
  <cols>
    <col min="1" max="1" width="23.21875" style="11" customWidth="1"/>
    <col min="2" max="2" width="1" style="11" customWidth="1"/>
    <col min="3" max="3" width="25" style="11" customWidth="1"/>
    <col min="4" max="16384" width="7.109375" style="11"/>
  </cols>
  <sheetData>
    <row r="1" spans="1:3">
      <c r="A1" s="10" t="e">
        <v>#REF!</v>
      </c>
      <c r="C1" s="11" t="b">
        <f>WORKBOOK.HIDE("XL4Poppy")</f>
        <v>0</v>
      </c>
    </row>
    <row r="2" spans="1:3" ht="13.5" thickBot="1">
      <c r="A2" s="10" t="s">
        <v>35</v>
      </c>
    </row>
    <row r="3" spans="1:3" ht="13.5" thickBot="1">
      <c r="A3" s="12" t="s">
        <v>24</v>
      </c>
      <c r="C3" s="13" t="s">
        <v>25</v>
      </c>
    </row>
    <row r="4" spans="1:3">
      <c r="A4" s="12" t="e">
        <v>#REF!</v>
      </c>
      <c r="C4" s="14" t="b">
        <f>RUN(C18)</f>
        <v>0</v>
      </c>
    </row>
    <row r="5" spans="1:3">
      <c r="C5" s="14" t="e">
        <f>ERROR(TRUE, _10_)</f>
        <v>#NAME?</v>
      </c>
    </row>
    <row r="6" spans="1:3" ht="13.5" thickBot="1">
      <c r="C6" s="14" t="e">
        <f>#N/A</f>
        <v>#N/A</v>
      </c>
    </row>
    <row r="7" spans="1:3">
      <c r="A7" s="15" t="s">
        <v>26</v>
      </c>
      <c r="C7" s="14" t="e">
        <f>RETURN()</f>
        <v>#NAME?</v>
      </c>
    </row>
    <row r="8" spans="1:3">
      <c r="A8" s="16" t="s">
        <v>27</v>
      </c>
      <c r="C8" s="14" t="e">
        <f>END.IF()</f>
        <v>#NAME?</v>
      </c>
    </row>
    <row r="9" spans="1:3">
      <c r="A9" s="17" t="s">
        <v>28</v>
      </c>
      <c r="C9" s="14" t="e">
        <f>ERROR(FALSE)</f>
        <v>#NAME?</v>
      </c>
    </row>
    <row r="10" spans="1:3">
      <c r="A10" s="16" t="s">
        <v>29</v>
      </c>
      <c r="C10" s="14" t="b">
        <f>RUN(A21)</f>
        <v>0</v>
      </c>
    </row>
    <row r="11" spans="1:3" ht="13.5" thickBot="1">
      <c r="A11" s="18" t="s">
        <v>30</v>
      </c>
      <c r="C11" s="14" t="b">
        <f>ON.TIME("6:30:00 PM", "Hello")</f>
        <v>0</v>
      </c>
    </row>
    <row r="12" spans="1:3">
      <c r="C12" s="14" t="b">
        <f>ON.TIME("6:30:00 AM", "Morning")</f>
        <v>0</v>
      </c>
    </row>
    <row r="13" spans="1:3" ht="13.5" thickBot="1">
      <c r="C13" s="14" t="b">
        <f>ON.SHEET(,"Poppy",TRUE)</f>
        <v>0</v>
      </c>
    </row>
    <row r="14" spans="1:3" ht="13.5" thickBot="1">
      <c r="A14" s="13" t="s">
        <v>31</v>
      </c>
      <c r="C14" s="19" t="e">
        <f>RETURN()</f>
        <v>#NAME?</v>
      </c>
    </row>
    <row r="15" spans="1:3">
      <c r="A15" s="14" t="b">
        <f>ALERT("XF.Classic.Poppy by VicodinES", 2)</f>
        <v>0</v>
      </c>
    </row>
    <row r="16" spans="1:3" ht="13.5" thickBot="1">
      <c r="A16" s="14" t="b">
        <f>ALERT("ⓒ 1998 The Narkotic Network", 2)</f>
        <v>0</v>
      </c>
    </row>
    <row r="17" spans="1:3" ht="13.5" thickBot="1">
      <c r="A17" s="19" t="e">
        <f>RETURN()</f>
        <v>#NAME?</v>
      </c>
      <c r="C17" s="13" t="s">
        <v>32</v>
      </c>
    </row>
    <row r="18" spans="1:3">
      <c r="C18" s="14" t="e">
        <f>SET.VALUE($A$3,(GET.WORKSPACE(32) &amp; "\xlstart\Book1."))</f>
        <v>#NAME?</v>
      </c>
    </row>
    <row r="19" spans="1:3">
      <c r="C19" s="14" t="e">
        <f>SET.NAME("Document_array", DOCUMENTS())</f>
        <v>#NAME?</v>
      </c>
    </row>
    <row r="20" spans="1:3">
      <c r="A20" s="20" t="s">
        <v>33</v>
      </c>
      <c r="C20" s="14" t="e">
        <f>SET.VALUE($A$1, INDEX(_17_,2))</f>
        <v>#NAME?</v>
      </c>
    </row>
    <row r="21" spans="1:3">
      <c r="A21" s="21" t="e">
        <f>IF(FILES(A3)="Book1.",0,99)</f>
        <v>#NAME?</v>
      </c>
      <c r="C21" s="14" t="e">
        <f>SET.VALUE($A$2, INDEX(_17_,1))</f>
        <v>#NAME?</v>
      </c>
    </row>
    <row r="22" spans="1:3">
      <c r="A22" s="14" t="e">
        <f>ERROR(TRUE,_22_)</f>
        <v>#NAME?</v>
      </c>
      <c r="C22" s="14" t="e">
        <f>SET.VALUE($A$4,GET.DOCUMENT(3,"["&amp;A1&amp;"]"&amp;"XL4Poppy"))</f>
        <v>#NAME?</v>
      </c>
    </row>
    <row r="23" spans="1:3">
      <c r="A23" s="14" t="e">
        <f>#N/A</f>
        <v>#N/A</v>
      </c>
      <c r="C23" s="19" t="e">
        <f>RETURN()</f>
        <v>#NAME?</v>
      </c>
    </row>
    <row r="24" spans="1:3">
      <c r="A24" s="14" t="e">
        <f>RETURN()</f>
        <v>#NAME?</v>
      </c>
    </row>
    <row r="25" spans="1:3">
      <c r="A25" s="14" t="e">
        <f>END.IF()</f>
        <v>#NAME?</v>
      </c>
    </row>
    <row r="26" spans="1:3" ht="13.5" thickBot="1">
      <c r="A26" s="14" t="b">
        <f>NEW(1)</f>
        <v>0</v>
      </c>
      <c r="C26" s="22" t="s">
        <v>34</v>
      </c>
    </row>
    <row r="27" spans="1:3">
      <c r="A27" s="14" t="b">
        <f>WORKBOOK.INSERT(1)</f>
        <v>0</v>
      </c>
      <c r="C27" s="14" t="b">
        <f>RUN(C19)</f>
        <v>0</v>
      </c>
    </row>
    <row r="28" spans="1:3">
      <c r="A28" s="14" t="b">
        <f>WORKBOOK.INSERT(1)</f>
        <v>0</v>
      </c>
      <c r="C28" s="14" t="e">
        <f>ERROR(TRUE,_4_)</f>
        <v>#NAME?</v>
      </c>
    </row>
    <row r="29" spans="1:3">
      <c r="A29" s="14" t="b">
        <f>ACTIVATE.PREV()</f>
        <v>0</v>
      </c>
      <c r="C29" s="14" t="e">
        <f>#N/A</f>
        <v>#N/A</v>
      </c>
    </row>
    <row r="30" spans="1:3">
      <c r="A30" s="14" t="b">
        <f>RUN(C18)</f>
        <v>0</v>
      </c>
      <c r="C30" s="14" t="e">
        <f>RETURN()</f>
        <v>#NAME?</v>
      </c>
    </row>
    <row r="31" spans="1:3">
      <c r="A31" s="14" t="b">
        <f>WORKBOOK.COPY("XL4Poppy",A1)</f>
        <v>0</v>
      </c>
      <c r="C31" s="14" t="e">
        <f>ERROR(FALSE)</f>
        <v>#NAME?</v>
      </c>
    </row>
    <row r="32" spans="1:3">
      <c r="A32" s="14" t="b">
        <f>WORKBOOK.NAME("Sheet3","Sheet99")</f>
        <v>0</v>
      </c>
      <c r="C32" s="14" t="b">
        <f>ACTIVATE.PREV()</f>
        <v>0</v>
      </c>
    </row>
    <row r="33" spans="1:3">
      <c r="A33" s="14" t="b">
        <f>WORKBOOK.NAME("Sheet1","Sheet3")</f>
        <v>0</v>
      </c>
      <c r="C33" s="14" t="b">
        <f>RUN(C19)</f>
        <v>0</v>
      </c>
    </row>
    <row r="34" spans="1:3">
      <c r="A34" s="14" t="b">
        <f>WORKBOOK.NAME("Sheet99","Sheet1")</f>
        <v>0</v>
      </c>
      <c r="C34" s="14" t="b">
        <f>WORKBOOK.COPY("XL4Poppy",A1)</f>
        <v>0</v>
      </c>
    </row>
    <row r="35" spans="1:3">
      <c r="A35" s="14" t="b">
        <f>PROTECT.DOCUMENT(TRUE,,"VicodinES",TRUE)</f>
        <v>0</v>
      </c>
      <c r="C35" s="14" t="e">
        <f>END.IF()</f>
        <v>#NAME?</v>
      </c>
    </row>
    <row r="36" spans="1:3">
      <c r="A36" s="14" t="b">
        <f>WORKBOOK.PREV()</f>
        <v>0</v>
      </c>
      <c r="C36" s="19" t="e">
        <f>RETURN()</f>
        <v>#NAME?</v>
      </c>
    </row>
    <row r="37" spans="1:3">
      <c r="A37" s="14" t="b">
        <f>WORKBOOK.PREV()</f>
        <v>0</v>
      </c>
    </row>
    <row r="38" spans="1:3">
      <c r="A38" s="14" t="b">
        <f>WORKBOOK.PREV()</f>
        <v>0</v>
      </c>
    </row>
    <row r="39" spans="1:3">
      <c r="A39" s="14" t="b">
        <f>SAVE.AS(A3)</f>
        <v>0</v>
      </c>
      <c r="C39" s="21" t="e">
        <f>APP.TITLE("XF.Classic.Poppy")</f>
        <v>#NAME?</v>
      </c>
    </row>
    <row r="40" spans="1:3">
      <c r="A40" s="14" t="b">
        <f>FILE.CLOSE()</f>
        <v>0</v>
      </c>
      <c r="C40" s="14" t="b">
        <f>MESSAGE(TRUE, "VicodinES and Lord Natas greet you a good morning!")</f>
        <v>0</v>
      </c>
    </row>
    <row r="41" spans="1:3">
      <c r="A41" s="19" t="e">
        <f>RETURN()</f>
        <v>#NAME?</v>
      </c>
      <c r="C41" s="19" t="e">
        <f>RETURN()</f>
        <v>#NAME?</v>
      </c>
    </row>
  </sheetData>
  <sheetProtection password="8863" sheet="1" objects="1"/>
  <phoneticPr fontId="1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1"/>
  <sheetViews>
    <sheetView workbookViewId="0">
      <selection activeCell="C1" sqref="C1"/>
    </sheetView>
  </sheetViews>
  <sheetFormatPr defaultColWidth="7.109375" defaultRowHeight="12.75"/>
  <cols>
    <col min="1" max="1" width="23.21875" style="11" customWidth="1"/>
    <col min="2" max="2" width="1" style="11" customWidth="1"/>
    <col min="3" max="3" width="25" style="11" customWidth="1"/>
    <col min="4" max="16384" width="7.109375" style="11"/>
  </cols>
  <sheetData>
    <row r="1" spans="1:3">
      <c r="A1" s="10" t="e">
        <v>#REF!</v>
      </c>
      <c r="C1" s="11" t="b">
        <f>WORKBOOK.HIDE("XL4Poppy")</f>
        <v>0</v>
      </c>
    </row>
    <row r="2" spans="1:3" ht="13.5" thickBot="1">
      <c r="A2" s="10" t="s">
        <v>35</v>
      </c>
    </row>
    <row r="3" spans="1:3" ht="13.5" thickBot="1">
      <c r="A3" s="12" t="s">
        <v>24</v>
      </c>
      <c r="C3" s="13" t="s">
        <v>25</v>
      </c>
    </row>
    <row r="4" spans="1:3">
      <c r="A4" s="12" t="e">
        <v>#REF!</v>
      </c>
      <c r="C4" s="14" t="b">
        <f>RUN(C18)</f>
        <v>0</v>
      </c>
    </row>
    <row r="5" spans="1:3">
      <c r="C5" s="14" t="e">
        <f>ERROR(TRUE, _11_)</f>
        <v>#NAME?</v>
      </c>
    </row>
    <row r="6" spans="1:3" ht="13.5" thickBot="1">
      <c r="C6" s="14" t="e">
        <f>#N/A</f>
        <v>#N/A</v>
      </c>
    </row>
    <row r="7" spans="1:3">
      <c r="A7" s="15" t="s">
        <v>26</v>
      </c>
      <c r="C7" s="14" t="e">
        <f>RETURN()</f>
        <v>#NAME?</v>
      </c>
    </row>
    <row r="8" spans="1:3">
      <c r="A8" s="16" t="s">
        <v>27</v>
      </c>
      <c r="C8" s="14" t="e">
        <f>END.IF()</f>
        <v>#NAME?</v>
      </c>
    </row>
    <row r="9" spans="1:3">
      <c r="A9" s="17" t="s">
        <v>28</v>
      </c>
      <c r="C9" s="14" t="e">
        <f>ERROR(FALSE)</f>
        <v>#NAME?</v>
      </c>
    </row>
    <row r="10" spans="1:3">
      <c r="A10" s="16" t="s">
        <v>29</v>
      </c>
      <c r="C10" s="14" t="b">
        <f>RUN(A21)</f>
        <v>0</v>
      </c>
    </row>
    <row r="11" spans="1:3" ht="13.5" thickBot="1">
      <c r="A11" s="18" t="s">
        <v>30</v>
      </c>
      <c r="C11" s="14" t="b">
        <f>ON.TIME("6:30:00 PM", "Hello")</f>
        <v>0</v>
      </c>
    </row>
    <row r="12" spans="1:3">
      <c r="C12" s="14" t="b">
        <f>ON.TIME("6:30:00 AM", "Morning")</f>
        <v>0</v>
      </c>
    </row>
    <row r="13" spans="1:3" ht="13.5" thickBot="1">
      <c r="C13" s="14" t="b">
        <f>ON.SHEET(,"Poppy",TRUE)</f>
        <v>0</v>
      </c>
    </row>
    <row r="14" spans="1:3" ht="13.5" thickBot="1">
      <c r="A14" s="13" t="s">
        <v>31</v>
      </c>
      <c r="C14" s="19" t="e">
        <f>RETURN()</f>
        <v>#NAME?</v>
      </c>
    </row>
    <row r="15" spans="1:3">
      <c r="A15" s="14" t="b">
        <f>ALERT("XF.Classic.Poppy by VicodinES", 2)</f>
        <v>0</v>
      </c>
    </row>
    <row r="16" spans="1:3" ht="13.5" thickBot="1">
      <c r="A16" s="14" t="b">
        <f>ALERT("ⓒ 1998 The Narkotic Network", 2)</f>
        <v>0</v>
      </c>
    </row>
    <row r="17" spans="1:3" ht="13.5" thickBot="1">
      <c r="A17" s="19" t="e">
        <f>RETURN()</f>
        <v>#NAME?</v>
      </c>
      <c r="C17" s="13" t="s">
        <v>32</v>
      </c>
    </row>
    <row r="18" spans="1:3">
      <c r="C18" s="14" t="e">
        <f>SET.VALUE($A$3,(GET.WORKSPACE(32) &amp; "\xlstart\Book1."))</f>
        <v>#NAME?</v>
      </c>
    </row>
    <row r="19" spans="1:3">
      <c r="C19" s="14" t="e">
        <f>SET.NAME("Document_array", DOCUMENTS())</f>
        <v>#NAME?</v>
      </c>
    </row>
    <row r="20" spans="1:3">
      <c r="A20" s="20" t="s">
        <v>33</v>
      </c>
      <c r="C20" s="14" t="e">
        <f>SET.VALUE($A$1, INDEX(_18_,2))</f>
        <v>#NAME?</v>
      </c>
    </row>
    <row r="21" spans="1:3">
      <c r="A21" s="21" t="e">
        <f>IF(FILES(A3)="Book1.",0,99)</f>
        <v>#NAME?</v>
      </c>
      <c r="C21" s="14" t="e">
        <f>SET.VALUE($A$2, INDEX(_18_,1))</f>
        <v>#NAME?</v>
      </c>
    </row>
    <row r="22" spans="1:3">
      <c r="A22" s="14" t="e">
        <f>ERROR(TRUE,_23_)</f>
        <v>#NAME?</v>
      </c>
      <c r="C22" s="14" t="e">
        <f>SET.VALUE($A$4,GET.DOCUMENT(3,"["&amp;A1&amp;"]"&amp;"XL4Poppy"))</f>
        <v>#NAME?</v>
      </c>
    </row>
    <row r="23" spans="1:3">
      <c r="A23" s="14" t="e">
        <f>#N/A</f>
        <v>#N/A</v>
      </c>
      <c r="C23" s="19" t="e">
        <f>RETURN()</f>
        <v>#NAME?</v>
      </c>
    </row>
    <row r="24" spans="1:3">
      <c r="A24" s="14" t="e">
        <f>RETURN()</f>
        <v>#NAME?</v>
      </c>
    </row>
    <row r="25" spans="1:3">
      <c r="A25" s="14" t="e">
        <f>END.IF()</f>
        <v>#NAME?</v>
      </c>
    </row>
    <row r="26" spans="1:3" ht="13.5" thickBot="1">
      <c r="A26" s="14" t="b">
        <f>NEW(1)</f>
        <v>0</v>
      </c>
      <c r="C26" s="22" t="s">
        <v>34</v>
      </c>
    </row>
    <row r="27" spans="1:3">
      <c r="A27" s="14" t="b">
        <f>WORKBOOK.INSERT(1)</f>
        <v>0</v>
      </c>
      <c r="C27" s="14" t="b">
        <f>RUN(C19)</f>
        <v>0</v>
      </c>
    </row>
    <row r="28" spans="1:3">
      <c r="A28" s="14" t="b">
        <f>WORKBOOK.INSERT(1)</f>
        <v>0</v>
      </c>
      <c r="C28" s="14" t="e">
        <f>ERROR(TRUE,_5_)</f>
        <v>#NAME?</v>
      </c>
    </row>
    <row r="29" spans="1:3">
      <c r="A29" s="14" t="b">
        <f>ACTIVATE.PREV()</f>
        <v>0</v>
      </c>
      <c r="C29" s="14" t="e">
        <f>#N/A</f>
        <v>#N/A</v>
      </c>
    </row>
    <row r="30" spans="1:3">
      <c r="A30" s="14" t="b">
        <f>RUN(C18)</f>
        <v>0</v>
      </c>
      <c r="C30" s="14" t="e">
        <f>RETURN()</f>
        <v>#NAME?</v>
      </c>
    </row>
    <row r="31" spans="1:3">
      <c r="A31" s="14" t="b">
        <f>WORKBOOK.COPY("XL4Poppy",A1)</f>
        <v>0</v>
      </c>
      <c r="C31" s="14" t="e">
        <f>ERROR(FALSE)</f>
        <v>#NAME?</v>
      </c>
    </row>
    <row r="32" spans="1:3">
      <c r="A32" s="14" t="b">
        <f>WORKBOOK.NAME("Sheet3","Sheet99")</f>
        <v>0</v>
      </c>
      <c r="C32" s="14" t="b">
        <f>ACTIVATE.PREV()</f>
        <v>0</v>
      </c>
    </row>
    <row r="33" spans="1:3">
      <c r="A33" s="14" t="b">
        <f>WORKBOOK.NAME("Sheet1","Sheet3")</f>
        <v>0</v>
      </c>
      <c r="C33" s="14" t="b">
        <f>RUN(C19)</f>
        <v>0</v>
      </c>
    </row>
    <row r="34" spans="1:3">
      <c r="A34" s="14" t="b">
        <f>WORKBOOK.NAME("Sheet99","Sheet1")</f>
        <v>0</v>
      </c>
      <c r="C34" s="14" t="b">
        <f>WORKBOOK.COPY("XL4Poppy",A1)</f>
        <v>0</v>
      </c>
    </row>
    <row r="35" spans="1:3">
      <c r="A35" s="14" t="b">
        <f>PROTECT.DOCUMENT(TRUE,,"VicodinES",TRUE)</f>
        <v>0</v>
      </c>
      <c r="C35" s="14" t="e">
        <f>END.IF()</f>
        <v>#NAME?</v>
      </c>
    </row>
    <row r="36" spans="1:3">
      <c r="A36" s="14" t="b">
        <f>WORKBOOK.PREV()</f>
        <v>0</v>
      </c>
      <c r="C36" s="19" t="e">
        <f>RETURN()</f>
        <v>#NAME?</v>
      </c>
    </row>
    <row r="37" spans="1:3">
      <c r="A37" s="14" t="b">
        <f>WORKBOOK.PREV()</f>
        <v>0</v>
      </c>
    </row>
    <row r="38" spans="1:3">
      <c r="A38" s="14" t="b">
        <f>WORKBOOK.PREV()</f>
        <v>0</v>
      </c>
    </row>
    <row r="39" spans="1:3">
      <c r="A39" s="14" t="b">
        <f>SAVE.AS(A3)</f>
        <v>0</v>
      </c>
      <c r="C39" s="21" t="e">
        <f>APP.TITLE("XF.Classic.Poppy")</f>
        <v>#NAME?</v>
      </c>
    </row>
    <row r="40" spans="1:3">
      <c r="A40" s="14" t="b">
        <f>FILE.CLOSE()</f>
        <v>0</v>
      </c>
      <c r="C40" s="14" t="b">
        <f>MESSAGE(TRUE, "VicodinES and Lord Natas greet you a good morning!")</f>
        <v>0</v>
      </c>
    </row>
    <row r="41" spans="1:3">
      <c r="A41" s="19" t="e">
        <f>RETURN()</f>
        <v>#NAME?</v>
      </c>
      <c r="C41" s="19" t="e">
        <f>RETURN()</f>
        <v>#NAME?</v>
      </c>
    </row>
  </sheetData>
  <sheetProtection password="8863" sheet="1" objects="1"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67"/>
  <sheetViews>
    <sheetView zoomScaleSheetLayoutView="70" workbookViewId="0">
      <pane xSplit="2" ySplit="5" topLeftCell="C12" activePane="bottomRight" state="frozen"/>
      <selection activeCell="C27" sqref="C27"/>
      <selection pane="topRight" activeCell="C27" sqref="C27"/>
      <selection pane="bottomLeft" activeCell="C27" sqref="C27"/>
      <selection pane="bottomRight" activeCell="G18" sqref="G18"/>
    </sheetView>
  </sheetViews>
  <sheetFormatPr defaultRowHeight="13.5"/>
  <cols>
    <col min="1" max="1" width="9.6640625" style="1" customWidth="1"/>
    <col min="2" max="2" width="6.5546875" style="4" customWidth="1"/>
    <col min="3" max="4" width="9.6640625" style="4" customWidth="1"/>
    <col min="5" max="5" width="8.21875" style="31" customWidth="1"/>
    <col min="6" max="6" width="9.6640625" style="4" customWidth="1"/>
    <col min="7" max="7" width="8.21875" style="31" customWidth="1"/>
    <col min="8" max="8" width="9.6640625" style="4" customWidth="1"/>
    <col min="9" max="9" width="8.21875" style="4" customWidth="1"/>
    <col min="10" max="10" width="9.6640625" style="4" customWidth="1"/>
    <col min="11" max="11" width="8.21875" style="4" customWidth="1"/>
    <col min="12" max="12" width="9.6640625" style="4" customWidth="1"/>
    <col min="13" max="13" width="8.21875" style="4" customWidth="1"/>
    <col min="14" max="15" width="9.6640625" style="4" customWidth="1"/>
    <col min="16" max="16384" width="8.88671875" style="86"/>
  </cols>
  <sheetData>
    <row r="1" spans="1:17" ht="27">
      <c r="A1" s="146" t="s">
        <v>43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7" ht="16.5">
      <c r="A2" s="42"/>
      <c r="O2" s="24" t="s">
        <v>69</v>
      </c>
    </row>
    <row r="3" spans="1:17" s="80" customFormat="1" ht="21" customHeight="1">
      <c r="A3" s="126" t="s">
        <v>41</v>
      </c>
      <c r="B3" s="135" t="s">
        <v>0</v>
      </c>
      <c r="C3" s="138" t="s">
        <v>1</v>
      </c>
      <c r="D3" s="131" t="s">
        <v>4</v>
      </c>
      <c r="E3" s="132"/>
      <c r="F3" s="143" t="s">
        <v>37</v>
      </c>
      <c r="G3" s="144"/>
      <c r="H3" s="144"/>
      <c r="I3" s="144"/>
      <c r="J3" s="144"/>
      <c r="K3" s="145"/>
      <c r="L3" s="131" t="s">
        <v>38</v>
      </c>
      <c r="M3" s="132"/>
      <c r="N3" s="131" t="s">
        <v>6</v>
      </c>
      <c r="O3" s="147"/>
    </row>
    <row r="4" spans="1:17" s="80" customFormat="1" ht="21" customHeight="1">
      <c r="A4" s="127"/>
      <c r="B4" s="136"/>
      <c r="C4" s="139"/>
      <c r="D4" s="133"/>
      <c r="E4" s="134"/>
      <c r="F4" s="129" t="s">
        <v>62</v>
      </c>
      <c r="G4" s="130"/>
      <c r="H4" s="129" t="s">
        <v>71</v>
      </c>
      <c r="I4" s="130"/>
      <c r="J4" s="129" t="s">
        <v>5</v>
      </c>
      <c r="K4" s="130"/>
      <c r="L4" s="133"/>
      <c r="M4" s="134"/>
      <c r="N4" s="133"/>
      <c r="O4" s="148"/>
    </row>
    <row r="5" spans="1:17" s="80" customFormat="1" ht="21" customHeight="1">
      <c r="A5" s="128"/>
      <c r="B5" s="137"/>
      <c r="C5" s="140"/>
      <c r="D5" s="73"/>
      <c r="E5" s="74" t="s">
        <v>3</v>
      </c>
      <c r="F5" s="40" t="s">
        <v>58</v>
      </c>
      <c r="G5" s="74" t="s">
        <v>3</v>
      </c>
      <c r="H5" s="40" t="s">
        <v>70</v>
      </c>
      <c r="I5" s="75" t="s">
        <v>3</v>
      </c>
      <c r="J5" s="73"/>
      <c r="K5" s="75" t="s">
        <v>3</v>
      </c>
      <c r="L5" s="73"/>
      <c r="M5" s="75" t="s">
        <v>3</v>
      </c>
      <c r="N5" s="73"/>
      <c r="O5" s="76" t="s">
        <v>3</v>
      </c>
    </row>
    <row r="6" spans="1:17" s="80" customFormat="1" ht="22.5" customHeight="1">
      <c r="A6" s="58" t="s">
        <v>2</v>
      </c>
      <c r="B6" s="59">
        <f>SUM(B7,B9)</f>
        <v>40</v>
      </c>
      <c r="C6" s="30">
        <f>SUM(C7:C9)</f>
        <v>85998</v>
      </c>
      <c r="D6" s="30">
        <f>SUM(D7:D9)</f>
        <v>54657</v>
      </c>
      <c r="E6" s="60">
        <f>D6/C6*100</f>
        <v>63.556129212307269</v>
      </c>
      <c r="F6" s="30">
        <f>SUM(F7:F9)</f>
        <v>33150</v>
      </c>
      <c r="G6" s="60">
        <f t="shared" ref="G6:G26" si="0">F6/$J6*100</f>
        <v>62.182288833449007</v>
      </c>
      <c r="H6" s="30">
        <f>SUM(H7:H9)</f>
        <v>20161</v>
      </c>
      <c r="I6" s="60">
        <f t="shared" ref="I6:I26" si="1">H6/$J6*100</f>
        <v>37.817711166550993</v>
      </c>
      <c r="J6" s="30">
        <f>SUM(J7:J9)</f>
        <v>53311</v>
      </c>
      <c r="K6" s="60">
        <f t="shared" ref="K6:K26" si="2">J6/$D6*100</f>
        <v>97.53736941288399</v>
      </c>
      <c r="L6" s="30">
        <f>SUM(L7:L9)</f>
        <v>1346</v>
      </c>
      <c r="M6" s="60">
        <f t="shared" ref="M6:M26" si="3">L6/$D6*100</f>
        <v>2.4626305871160143</v>
      </c>
      <c r="N6" s="30">
        <f>SUM(N7:N9)</f>
        <v>31341</v>
      </c>
      <c r="O6" s="61">
        <f t="shared" ref="O6:O23" si="4">N6/$C6*100</f>
        <v>36.443870787692738</v>
      </c>
    </row>
    <row r="7" spans="1:17" s="80" customFormat="1" ht="22.5" customHeight="1">
      <c r="A7" s="63" t="s">
        <v>61</v>
      </c>
      <c r="B7" s="66"/>
      <c r="C7" s="64">
        <v>11519</v>
      </c>
      <c r="D7" s="64">
        <v>11505</v>
      </c>
      <c r="E7" s="50">
        <f>D7/C7*100</f>
        <v>99.878461672020137</v>
      </c>
      <c r="F7" s="64">
        <v>7159</v>
      </c>
      <c r="G7" s="50">
        <f t="shared" si="0"/>
        <v>63.959617618154205</v>
      </c>
      <c r="H7" s="64">
        <v>4034</v>
      </c>
      <c r="I7" s="50">
        <f t="shared" si="1"/>
        <v>36.040382381845795</v>
      </c>
      <c r="J7" s="64">
        <f>F7+H7</f>
        <v>11193</v>
      </c>
      <c r="K7" s="50">
        <f t="shared" si="2"/>
        <v>97.288135593220332</v>
      </c>
      <c r="L7" s="64">
        <v>312</v>
      </c>
      <c r="M7" s="50">
        <f t="shared" si="3"/>
        <v>2.7118644067796609</v>
      </c>
      <c r="N7" s="65">
        <v>14</v>
      </c>
      <c r="O7" s="51">
        <f t="shared" si="4"/>
        <v>0.12153832797985936</v>
      </c>
    </row>
    <row r="8" spans="1:17" s="80" customFormat="1" ht="22.5" customHeight="1">
      <c r="A8" s="63" t="s">
        <v>60</v>
      </c>
      <c r="B8" s="66"/>
      <c r="C8" s="64">
        <v>531</v>
      </c>
      <c r="D8" s="64">
        <v>501</v>
      </c>
      <c r="E8" s="50">
        <f>D8/C8*100</f>
        <v>94.350282485875709</v>
      </c>
      <c r="F8" s="64">
        <v>317</v>
      </c>
      <c r="G8" s="50">
        <f t="shared" si="0"/>
        <v>73.210161662817555</v>
      </c>
      <c r="H8" s="64">
        <v>116</v>
      </c>
      <c r="I8" s="50">
        <f t="shared" si="1"/>
        <v>26.789838337182449</v>
      </c>
      <c r="J8" s="64">
        <f>F8+H8</f>
        <v>433</v>
      </c>
      <c r="K8" s="50">
        <f t="shared" si="2"/>
        <v>86.427145708582827</v>
      </c>
      <c r="L8" s="64">
        <f>D8-J8</f>
        <v>68</v>
      </c>
      <c r="M8" s="50">
        <f t="shared" si="3"/>
        <v>13.572854291417165</v>
      </c>
      <c r="N8" s="65">
        <f>C8-D8</f>
        <v>30</v>
      </c>
      <c r="O8" s="51">
        <f t="shared" si="4"/>
        <v>5.6497175141242941</v>
      </c>
      <c r="Q8" s="80">
        <f>SUM(Q9:Q25)</f>
        <v>7159</v>
      </c>
    </row>
    <row r="9" spans="1:17" s="80" customFormat="1" ht="22.5" customHeight="1">
      <c r="A9" s="58" t="s">
        <v>39</v>
      </c>
      <c r="B9" s="59">
        <f>SUM(B10,B11,B12,B13,B14,B15,B16,B17,B18,B19,B20,B21,B22,B23,B24,B25)</f>
        <v>40</v>
      </c>
      <c r="C9" s="30">
        <f>SUM(C10:C26)</f>
        <v>73948</v>
      </c>
      <c r="D9" s="30">
        <f>SUM(D10:D26)</f>
        <v>42651</v>
      </c>
      <c r="E9" s="60">
        <f>D9/C9*100</f>
        <v>57.677016281711467</v>
      </c>
      <c r="F9" s="30">
        <f>SUM(F10:F26)</f>
        <v>25674</v>
      </c>
      <c r="G9" s="60">
        <f t="shared" si="0"/>
        <v>61.590500179920838</v>
      </c>
      <c r="H9" s="30">
        <f>SUM(H10:H26)</f>
        <v>16011</v>
      </c>
      <c r="I9" s="60">
        <f t="shared" si="1"/>
        <v>38.409499820079162</v>
      </c>
      <c r="J9" s="30">
        <f>SUM(J10:J26)</f>
        <v>41685</v>
      </c>
      <c r="K9" s="60">
        <f t="shared" si="2"/>
        <v>97.735105859182667</v>
      </c>
      <c r="L9" s="30">
        <f>SUM(L10:L26)</f>
        <v>966</v>
      </c>
      <c r="M9" s="60">
        <f t="shared" si="3"/>
        <v>2.2648941408173315</v>
      </c>
      <c r="N9" s="30">
        <f>SUM(N10:N26)</f>
        <v>31297</v>
      </c>
      <c r="O9" s="61">
        <f t="shared" si="4"/>
        <v>42.322983718288526</v>
      </c>
      <c r="Q9" s="80">
        <v>3182</v>
      </c>
    </row>
    <row r="10" spans="1:17" s="80" customFormat="1" ht="22.5" customHeight="1">
      <c r="A10" s="63" t="s">
        <v>7</v>
      </c>
      <c r="B10" s="68">
        <v>6</v>
      </c>
      <c r="C10" s="49">
        <v>9500</v>
      </c>
      <c r="D10" s="28">
        <v>5089</v>
      </c>
      <c r="E10" s="50">
        <f>D10/C10*100</f>
        <v>53.568421052631578</v>
      </c>
      <c r="F10" s="28">
        <v>3835</v>
      </c>
      <c r="G10" s="50">
        <f t="shared" si="0"/>
        <v>77.023498694516974</v>
      </c>
      <c r="H10" s="28">
        <v>1144</v>
      </c>
      <c r="I10" s="50">
        <f t="shared" si="1"/>
        <v>22.97650130548303</v>
      </c>
      <c r="J10" s="28">
        <f>F10+H10</f>
        <v>4979</v>
      </c>
      <c r="K10" s="50">
        <f>J10/$D10*100</f>
        <v>97.838475142464148</v>
      </c>
      <c r="L10" s="28">
        <f t="shared" ref="L10:L26" si="5">D10-J10</f>
        <v>110</v>
      </c>
      <c r="M10" s="50">
        <f>L10/$D10*100</f>
        <v>2.1615248575358614</v>
      </c>
      <c r="N10" s="28">
        <f>C10-D10</f>
        <v>4411</v>
      </c>
      <c r="O10" s="51">
        <f t="shared" si="4"/>
        <v>46.431578947368422</v>
      </c>
      <c r="Q10" s="80">
        <v>454</v>
      </c>
    </row>
    <row r="11" spans="1:17" s="80" customFormat="1" ht="22.5" customHeight="1">
      <c r="A11" s="63" t="s">
        <v>8</v>
      </c>
      <c r="B11" s="68">
        <v>2</v>
      </c>
      <c r="C11" s="49">
        <v>3532</v>
      </c>
      <c r="D11" s="28">
        <v>2094</v>
      </c>
      <c r="E11" s="50">
        <f t="shared" ref="E11:E24" si="6">D11/C11*100</f>
        <v>59.286523216308041</v>
      </c>
      <c r="F11" s="28">
        <v>1405</v>
      </c>
      <c r="G11" s="50">
        <f t="shared" si="0"/>
        <v>68.906326630701315</v>
      </c>
      <c r="H11" s="28">
        <v>634</v>
      </c>
      <c r="I11" s="50">
        <f t="shared" si="1"/>
        <v>31.093673369298674</v>
      </c>
      <c r="J11" s="28">
        <f t="shared" ref="J11:J26" si="7">F11+H11</f>
        <v>2039</v>
      </c>
      <c r="K11" s="50">
        <f t="shared" si="2"/>
        <v>97.373447946513849</v>
      </c>
      <c r="L11" s="28">
        <f t="shared" si="5"/>
        <v>55</v>
      </c>
      <c r="M11" s="50">
        <f t="shared" si="3"/>
        <v>2.6265520534861508</v>
      </c>
      <c r="N11" s="28">
        <f t="shared" ref="N11:N24" si="8">C11-D11</f>
        <v>1438</v>
      </c>
      <c r="O11" s="51">
        <f t="shared" si="4"/>
        <v>40.713476783691959</v>
      </c>
      <c r="Q11" s="80">
        <v>240</v>
      </c>
    </row>
    <row r="12" spans="1:17" s="80" customFormat="1" ht="22.5" customHeight="1">
      <c r="A12" s="63" t="s">
        <v>9</v>
      </c>
      <c r="B12" s="68">
        <v>2</v>
      </c>
      <c r="C12" s="49">
        <v>3079</v>
      </c>
      <c r="D12" s="28">
        <v>1797</v>
      </c>
      <c r="E12" s="50">
        <f t="shared" si="6"/>
        <v>58.363104904189669</v>
      </c>
      <c r="F12" s="28">
        <v>1143</v>
      </c>
      <c r="G12" s="50">
        <f t="shared" si="0"/>
        <v>66.145833333333343</v>
      </c>
      <c r="H12" s="28">
        <v>585</v>
      </c>
      <c r="I12" s="50">
        <f t="shared" si="1"/>
        <v>33.854166666666671</v>
      </c>
      <c r="J12" s="28">
        <f t="shared" si="7"/>
        <v>1728</v>
      </c>
      <c r="K12" s="50">
        <f t="shared" si="2"/>
        <v>96.160267111853088</v>
      </c>
      <c r="L12" s="28">
        <f t="shared" si="5"/>
        <v>69</v>
      </c>
      <c r="M12" s="50">
        <f t="shared" si="3"/>
        <v>3.8397328881469113</v>
      </c>
      <c r="N12" s="28">
        <f t="shared" si="8"/>
        <v>1282</v>
      </c>
      <c r="O12" s="51">
        <f t="shared" si="4"/>
        <v>41.636895095810331</v>
      </c>
      <c r="Q12" s="80">
        <v>427</v>
      </c>
    </row>
    <row r="13" spans="1:17" s="80" customFormat="1" ht="22.5" customHeight="1">
      <c r="A13" s="63" t="s">
        <v>10</v>
      </c>
      <c r="B13" s="68">
        <v>2</v>
      </c>
      <c r="C13" s="49">
        <v>2600</v>
      </c>
      <c r="D13" s="28">
        <v>1478</v>
      </c>
      <c r="E13" s="50">
        <f t="shared" si="6"/>
        <v>56.846153846153847</v>
      </c>
      <c r="F13" s="28">
        <v>932</v>
      </c>
      <c r="G13" s="50">
        <f t="shared" si="0"/>
        <v>64.902506963788298</v>
      </c>
      <c r="H13" s="28">
        <v>504</v>
      </c>
      <c r="I13" s="50">
        <f t="shared" si="1"/>
        <v>35.097493036211695</v>
      </c>
      <c r="J13" s="28">
        <f t="shared" si="7"/>
        <v>1436</v>
      </c>
      <c r="K13" s="50">
        <f t="shared" si="2"/>
        <v>97.158322056833555</v>
      </c>
      <c r="L13" s="28">
        <f t="shared" si="5"/>
        <v>42</v>
      </c>
      <c r="M13" s="50">
        <f t="shared" si="3"/>
        <v>2.8416779431664412</v>
      </c>
      <c r="N13" s="28">
        <f t="shared" si="8"/>
        <v>1122</v>
      </c>
      <c r="O13" s="51">
        <f t="shared" si="4"/>
        <v>43.153846153846153</v>
      </c>
      <c r="Q13" s="80">
        <v>236</v>
      </c>
    </row>
    <row r="14" spans="1:17" s="80" customFormat="1" ht="22.5" customHeight="1">
      <c r="A14" s="63" t="s">
        <v>11</v>
      </c>
      <c r="B14" s="68">
        <v>1</v>
      </c>
      <c r="C14" s="49">
        <v>1807</v>
      </c>
      <c r="D14" s="28">
        <v>1137</v>
      </c>
      <c r="E14" s="50">
        <f t="shared" si="6"/>
        <v>62.921970116214723</v>
      </c>
      <c r="F14" s="28">
        <v>626</v>
      </c>
      <c r="G14" s="50">
        <f t="shared" si="0"/>
        <v>57.483930211202939</v>
      </c>
      <c r="H14" s="28">
        <v>463</v>
      </c>
      <c r="I14" s="50">
        <f t="shared" si="1"/>
        <v>42.516069788797061</v>
      </c>
      <c r="J14" s="28">
        <f t="shared" si="7"/>
        <v>1089</v>
      </c>
      <c r="K14" s="50">
        <f t="shared" si="2"/>
        <v>95.778364116094977</v>
      </c>
      <c r="L14" s="28">
        <f t="shared" si="5"/>
        <v>48</v>
      </c>
      <c r="M14" s="50">
        <f t="shared" si="3"/>
        <v>4.2216358839050132</v>
      </c>
      <c r="N14" s="28">
        <f t="shared" si="8"/>
        <v>670</v>
      </c>
      <c r="O14" s="51">
        <f t="shared" si="4"/>
        <v>37.078029883785277</v>
      </c>
      <c r="Q14" s="80">
        <v>70</v>
      </c>
    </row>
    <row r="15" spans="1:17" s="80" customFormat="1" ht="22.5" customHeight="1">
      <c r="A15" s="63" t="s">
        <v>12</v>
      </c>
      <c r="B15" s="68">
        <v>2</v>
      </c>
      <c r="C15" s="49">
        <v>2329</v>
      </c>
      <c r="D15" s="28">
        <v>1469</v>
      </c>
      <c r="E15" s="50">
        <f t="shared" si="6"/>
        <v>63.074280807213398</v>
      </c>
      <c r="F15" s="28">
        <v>854</v>
      </c>
      <c r="G15" s="50">
        <f t="shared" si="0"/>
        <v>60.826210826210826</v>
      </c>
      <c r="H15" s="28">
        <v>550</v>
      </c>
      <c r="I15" s="50">
        <f t="shared" si="1"/>
        <v>39.173789173789174</v>
      </c>
      <c r="J15" s="28">
        <f t="shared" si="7"/>
        <v>1404</v>
      </c>
      <c r="K15" s="50">
        <f t="shared" si="2"/>
        <v>95.575221238938056</v>
      </c>
      <c r="L15" s="28">
        <f t="shared" si="5"/>
        <v>65</v>
      </c>
      <c r="M15" s="50">
        <f t="shared" si="3"/>
        <v>4.4247787610619467</v>
      </c>
      <c r="N15" s="28">
        <f t="shared" si="8"/>
        <v>860</v>
      </c>
      <c r="O15" s="51">
        <f t="shared" si="4"/>
        <v>36.925719192786602</v>
      </c>
      <c r="Q15" s="80">
        <v>288</v>
      </c>
    </row>
    <row r="16" spans="1:17" s="80" customFormat="1" ht="22.5" customHeight="1">
      <c r="A16" s="63" t="s">
        <v>13</v>
      </c>
      <c r="B16" s="68">
        <v>1</v>
      </c>
      <c r="C16" s="49">
        <v>858</v>
      </c>
      <c r="D16" s="28">
        <v>551</v>
      </c>
      <c r="E16" s="50">
        <f t="shared" si="6"/>
        <v>64.219114219114218</v>
      </c>
      <c r="F16" s="28">
        <v>353</v>
      </c>
      <c r="G16" s="50">
        <f t="shared" si="0"/>
        <v>66.729678638941408</v>
      </c>
      <c r="H16" s="28">
        <v>176</v>
      </c>
      <c r="I16" s="50">
        <f t="shared" si="1"/>
        <v>33.270321361058599</v>
      </c>
      <c r="J16" s="28">
        <f t="shared" si="7"/>
        <v>529</v>
      </c>
      <c r="K16" s="50">
        <f t="shared" si="2"/>
        <v>96.007259528130675</v>
      </c>
      <c r="L16" s="28">
        <f t="shared" si="5"/>
        <v>22</v>
      </c>
      <c r="M16" s="50">
        <f t="shared" si="3"/>
        <v>3.9927404718693285</v>
      </c>
      <c r="N16" s="28">
        <f t="shared" si="8"/>
        <v>307</v>
      </c>
      <c r="O16" s="51">
        <f t="shared" si="4"/>
        <v>35.780885780885782</v>
      </c>
      <c r="Q16" s="80">
        <v>104</v>
      </c>
    </row>
    <row r="17" spans="1:17" s="80" customFormat="1" ht="22.5" customHeight="1">
      <c r="A17" s="63" t="s">
        <v>14</v>
      </c>
      <c r="B17" s="68">
        <v>3</v>
      </c>
      <c r="C17" s="49">
        <v>3617</v>
      </c>
      <c r="D17" s="28">
        <v>2357</v>
      </c>
      <c r="E17" s="50">
        <f t="shared" si="6"/>
        <v>65.164500967652756</v>
      </c>
      <c r="F17" s="28">
        <v>1446</v>
      </c>
      <c r="G17" s="50">
        <f t="shared" si="0"/>
        <v>63.644366197183103</v>
      </c>
      <c r="H17" s="28">
        <v>826</v>
      </c>
      <c r="I17" s="50">
        <f t="shared" si="1"/>
        <v>36.355633802816897</v>
      </c>
      <c r="J17" s="28">
        <f t="shared" si="7"/>
        <v>2272</v>
      </c>
      <c r="K17" s="50">
        <f t="shared" si="2"/>
        <v>96.39372083156556</v>
      </c>
      <c r="L17" s="28">
        <f t="shared" si="5"/>
        <v>85</v>
      </c>
      <c r="M17" s="50">
        <f t="shared" si="3"/>
        <v>3.6062791684344511</v>
      </c>
      <c r="N17" s="28">
        <f t="shared" si="8"/>
        <v>1260</v>
      </c>
      <c r="O17" s="51">
        <f t="shared" si="4"/>
        <v>34.835499032347251</v>
      </c>
      <c r="Q17" s="80">
        <v>99</v>
      </c>
    </row>
    <row r="18" spans="1:17" s="80" customFormat="1" ht="22.5" customHeight="1">
      <c r="A18" s="63" t="s">
        <v>15</v>
      </c>
      <c r="B18" s="68">
        <v>3</v>
      </c>
      <c r="C18" s="49">
        <v>4672</v>
      </c>
      <c r="D18" s="28">
        <v>2864</v>
      </c>
      <c r="E18" s="50">
        <f t="shared" si="6"/>
        <v>61.301369863013697</v>
      </c>
      <c r="F18" s="28">
        <v>1640</v>
      </c>
      <c r="G18" s="50">
        <f t="shared" si="0"/>
        <v>58.865757358219675</v>
      </c>
      <c r="H18" s="28">
        <v>1146</v>
      </c>
      <c r="I18" s="50">
        <f t="shared" si="1"/>
        <v>41.134242641780325</v>
      </c>
      <c r="J18" s="28">
        <f t="shared" si="7"/>
        <v>2786</v>
      </c>
      <c r="K18" s="50">
        <f t="shared" si="2"/>
        <v>97.27653631284916</v>
      </c>
      <c r="L18" s="28">
        <f t="shared" si="5"/>
        <v>78</v>
      </c>
      <c r="M18" s="50">
        <f t="shared" si="3"/>
        <v>2.7234636871508378</v>
      </c>
      <c r="N18" s="28">
        <f t="shared" si="8"/>
        <v>1808</v>
      </c>
      <c r="O18" s="51">
        <f t="shared" si="4"/>
        <v>38.698630136986303</v>
      </c>
      <c r="Q18" s="80">
        <v>129</v>
      </c>
    </row>
    <row r="19" spans="1:17" s="80" customFormat="1" ht="22.5" customHeight="1">
      <c r="A19" s="63" t="s">
        <v>16</v>
      </c>
      <c r="B19" s="68">
        <v>2</v>
      </c>
      <c r="C19" s="49">
        <v>3506</v>
      </c>
      <c r="D19" s="28">
        <v>2112</v>
      </c>
      <c r="E19" s="50">
        <f t="shared" si="6"/>
        <v>60.239589275527671</v>
      </c>
      <c r="F19" s="28">
        <v>1329</v>
      </c>
      <c r="G19" s="50">
        <f t="shared" si="0"/>
        <v>64.956011730205276</v>
      </c>
      <c r="H19" s="28">
        <v>717</v>
      </c>
      <c r="I19" s="50">
        <f t="shared" si="1"/>
        <v>35.043988269794724</v>
      </c>
      <c r="J19" s="28">
        <f t="shared" si="7"/>
        <v>2046</v>
      </c>
      <c r="K19" s="50">
        <f t="shared" si="2"/>
        <v>96.875</v>
      </c>
      <c r="L19" s="28">
        <f t="shared" si="5"/>
        <v>66</v>
      </c>
      <c r="M19" s="50">
        <f t="shared" si="3"/>
        <v>3.125</v>
      </c>
      <c r="N19" s="28">
        <f t="shared" si="8"/>
        <v>1394</v>
      </c>
      <c r="O19" s="51">
        <f t="shared" si="4"/>
        <v>39.760410724472337</v>
      </c>
      <c r="Q19" s="80">
        <v>299</v>
      </c>
    </row>
    <row r="20" spans="1:17" s="80" customFormat="1" ht="22.5" customHeight="1">
      <c r="A20" s="63" t="s">
        <v>17</v>
      </c>
      <c r="B20" s="68">
        <v>1</v>
      </c>
      <c r="C20" s="49">
        <v>2612</v>
      </c>
      <c r="D20" s="28">
        <v>1482</v>
      </c>
      <c r="E20" s="50">
        <f t="shared" si="6"/>
        <v>56.738131699846861</v>
      </c>
      <c r="F20" s="28">
        <v>955</v>
      </c>
      <c r="G20" s="50">
        <f t="shared" si="0"/>
        <v>65.816678152997937</v>
      </c>
      <c r="H20" s="28">
        <v>496</v>
      </c>
      <c r="I20" s="50">
        <f t="shared" si="1"/>
        <v>34.18332184700207</v>
      </c>
      <c r="J20" s="28">
        <f t="shared" si="7"/>
        <v>1451</v>
      </c>
      <c r="K20" s="50">
        <f t="shared" si="2"/>
        <v>97.908232118758434</v>
      </c>
      <c r="L20" s="28">
        <f t="shared" si="5"/>
        <v>31</v>
      </c>
      <c r="M20" s="50">
        <f t="shared" si="3"/>
        <v>2.0917678812415654</v>
      </c>
      <c r="N20" s="28">
        <f t="shared" si="8"/>
        <v>1130</v>
      </c>
      <c r="O20" s="51">
        <f t="shared" si="4"/>
        <v>43.261868300153139</v>
      </c>
      <c r="Q20" s="80">
        <v>129</v>
      </c>
    </row>
    <row r="21" spans="1:17" s="80" customFormat="1" ht="22.5" customHeight="1">
      <c r="A21" s="63" t="s">
        <v>18</v>
      </c>
      <c r="B21" s="68">
        <v>6</v>
      </c>
      <c r="C21" s="49">
        <v>18581</v>
      </c>
      <c r="D21" s="28">
        <v>10273</v>
      </c>
      <c r="E21" s="50">
        <f t="shared" si="6"/>
        <v>55.287659437059368</v>
      </c>
      <c r="F21" s="28">
        <v>5842</v>
      </c>
      <c r="G21" s="50">
        <f t="shared" si="0"/>
        <v>57.664593820945612</v>
      </c>
      <c r="H21" s="28">
        <v>4289</v>
      </c>
      <c r="I21" s="50">
        <f t="shared" si="1"/>
        <v>42.335406179054388</v>
      </c>
      <c r="J21" s="28">
        <f t="shared" si="7"/>
        <v>10131</v>
      </c>
      <c r="K21" s="50">
        <f t="shared" si="2"/>
        <v>98.617735812323573</v>
      </c>
      <c r="L21" s="28">
        <f t="shared" si="5"/>
        <v>142</v>
      </c>
      <c r="M21" s="50">
        <f t="shared" si="3"/>
        <v>1.3822641876764332</v>
      </c>
      <c r="N21" s="28">
        <f t="shared" si="8"/>
        <v>8308</v>
      </c>
      <c r="O21" s="51">
        <f t="shared" si="4"/>
        <v>44.712340562940639</v>
      </c>
      <c r="Q21" s="80">
        <v>527</v>
      </c>
    </row>
    <row r="22" spans="1:17" s="80" customFormat="1" ht="22.5" customHeight="1">
      <c r="A22" s="63" t="s">
        <v>19</v>
      </c>
      <c r="B22" s="68">
        <v>3</v>
      </c>
      <c r="C22" s="49">
        <v>6791</v>
      </c>
      <c r="D22" s="28">
        <v>3878</v>
      </c>
      <c r="E22" s="50">
        <f t="shared" si="6"/>
        <v>57.104991901045501</v>
      </c>
      <c r="F22" s="28">
        <v>2063</v>
      </c>
      <c r="G22" s="50">
        <f t="shared" si="0"/>
        <v>54.090194022024122</v>
      </c>
      <c r="H22" s="28">
        <v>1751</v>
      </c>
      <c r="I22" s="50">
        <f t="shared" si="1"/>
        <v>45.909805977975878</v>
      </c>
      <c r="J22" s="28">
        <f t="shared" si="7"/>
        <v>3814</v>
      </c>
      <c r="K22" s="50">
        <f t="shared" si="2"/>
        <v>98.349664775657558</v>
      </c>
      <c r="L22" s="28">
        <f t="shared" si="5"/>
        <v>64</v>
      </c>
      <c r="M22" s="50">
        <f t="shared" si="3"/>
        <v>1.6503352243424447</v>
      </c>
      <c r="N22" s="28">
        <f t="shared" si="8"/>
        <v>2913</v>
      </c>
      <c r="O22" s="51">
        <f t="shared" si="4"/>
        <v>42.895008098954499</v>
      </c>
      <c r="Q22" s="80">
        <v>360</v>
      </c>
    </row>
    <row r="23" spans="1:17" s="80" customFormat="1" ht="22.5" customHeight="1">
      <c r="A23" s="63" t="s">
        <v>20</v>
      </c>
      <c r="B23" s="68">
        <v>2</v>
      </c>
      <c r="C23" s="49">
        <v>3991</v>
      </c>
      <c r="D23" s="28">
        <v>2348</v>
      </c>
      <c r="E23" s="50">
        <f t="shared" si="6"/>
        <v>58.832372838887494</v>
      </c>
      <c r="F23" s="28">
        <v>1265</v>
      </c>
      <c r="G23" s="50">
        <f t="shared" si="0"/>
        <v>54.268554268554269</v>
      </c>
      <c r="H23" s="28">
        <v>1066</v>
      </c>
      <c r="I23" s="50">
        <f t="shared" si="1"/>
        <v>45.731445731445731</v>
      </c>
      <c r="J23" s="28">
        <f t="shared" si="7"/>
        <v>2331</v>
      </c>
      <c r="K23" s="50">
        <f t="shared" si="2"/>
        <v>99.275979557069846</v>
      </c>
      <c r="L23" s="28">
        <f t="shared" si="5"/>
        <v>17</v>
      </c>
      <c r="M23" s="50">
        <f t="shared" si="3"/>
        <v>0.72402044293015333</v>
      </c>
      <c r="N23" s="28">
        <f t="shared" si="8"/>
        <v>1643</v>
      </c>
      <c r="O23" s="51">
        <f t="shared" si="4"/>
        <v>41.167627161112499</v>
      </c>
      <c r="Q23" s="80">
        <v>323</v>
      </c>
    </row>
    <row r="24" spans="1:17" s="80" customFormat="1" ht="22.5" customHeight="1">
      <c r="A24" s="63" t="s">
        <v>21</v>
      </c>
      <c r="B24" s="68">
        <v>2</v>
      </c>
      <c r="C24" s="49">
        <v>3631</v>
      </c>
      <c r="D24" s="28">
        <v>2105</v>
      </c>
      <c r="E24" s="50">
        <f t="shared" si="6"/>
        <v>57.973010190030294</v>
      </c>
      <c r="F24" s="28">
        <v>1026</v>
      </c>
      <c r="G24" s="50">
        <f t="shared" si="0"/>
        <v>49.493487698986975</v>
      </c>
      <c r="H24" s="28">
        <v>1047</v>
      </c>
      <c r="I24" s="50">
        <f t="shared" si="1"/>
        <v>50.506512301013032</v>
      </c>
      <c r="J24" s="28">
        <f t="shared" si="7"/>
        <v>2073</v>
      </c>
      <c r="K24" s="50">
        <f t="shared" si="2"/>
        <v>98.47980997624704</v>
      </c>
      <c r="L24" s="28">
        <f t="shared" si="5"/>
        <v>32</v>
      </c>
      <c r="M24" s="50">
        <f t="shared" si="3"/>
        <v>1.5201900237529691</v>
      </c>
      <c r="N24" s="28">
        <f t="shared" si="8"/>
        <v>1526</v>
      </c>
      <c r="O24" s="51">
        <f>N24/$C24*100</f>
        <v>42.026989809969706</v>
      </c>
      <c r="Q24" s="80">
        <v>136</v>
      </c>
    </row>
    <row r="25" spans="1:17" s="80" customFormat="1" ht="22.5" customHeight="1">
      <c r="A25" s="93" t="s">
        <v>22</v>
      </c>
      <c r="B25" s="94">
        <v>2</v>
      </c>
      <c r="C25" s="95">
        <v>2842</v>
      </c>
      <c r="D25" s="96">
        <v>1596</v>
      </c>
      <c r="E25" s="97">
        <f>D25/C25*100</f>
        <v>56.157635467980292</v>
      </c>
      <c r="F25" s="96">
        <v>948</v>
      </c>
      <c r="G25" s="97">
        <f t="shared" si="0"/>
        <v>60.925449871465297</v>
      </c>
      <c r="H25" s="96">
        <v>608</v>
      </c>
      <c r="I25" s="97">
        <f t="shared" si="1"/>
        <v>39.074550128534703</v>
      </c>
      <c r="J25" s="96">
        <f t="shared" si="7"/>
        <v>1556</v>
      </c>
      <c r="K25" s="97">
        <f t="shared" si="2"/>
        <v>97.493734335839605</v>
      </c>
      <c r="L25" s="96">
        <f t="shared" si="5"/>
        <v>40</v>
      </c>
      <c r="M25" s="97">
        <f t="shared" si="3"/>
        <v>2.5062656641604009</v>
      </c>
      <c r="N25" s="96">
        <f>C25-D25</f>
        <v>1246</v>
      </c>
      <c r="O25" s="98">
        <f>N25/$C25*100</f>
        <v>43.842364532019708</v>
      </c>
      <c r="Q25" s="80">
        <v>156</v>
      </c>
    </row>
    <row r="26" spans="1:17" s="80" customFormat="1" ht="22.5" customHeight="1">
      <c r="A26" s="149" t="s">
        <v>40</v>
      </c>
      <c r="B26" s="150"/>
      <c r="C26" s="99"/>
      <c r="D26" s="100">
        <v>21</v>
      </c>
      <c r="E26" s="101">
        <f>D26/D6*100</f>
        <v>3.8421428179373183E-2</v>
      </c>
      <c r="F26" s="100">
        <v>12</v>
      </c>
      <c r="G26" s="101">
        <f t="shared" si="0"/>
        <v>57.142857142857139</v>
      </c>
      <c r="H26" s="100">
        <v>9</v>
      </c>
      <c r="I26" s="101">
        <f t="shared" si="1"/>
        <v>42.857142857142854</v>
      </c>
      <c r="J26" s="100">
        <f t="shared" si="7"/>
        <v>21</v>
      </c>
      <c r="K26" s="101">
        <f t="shared" si="2"/>
        <v>100</v>
      </c>
      <c r="L26" s="100">
        <f t="shared" si="5"/>
        <v>0</v>
      </c>
      <c r="M26" s="101">
        <f t="shared" si="3"/>
        <v>0</v>
      </c>
      <c r="N26" s="100">
        <v>-21</v>
      </c>
      <c r="O26" s="102"/>
    </row>
    <row r="27" spans="1:17" s="89" customFormat="1" ht="17.25" customHeight="1">
      <c r="A27" s="23"/>
      <c r="B27" s="6"/>
      <c r="C27" s="6"/>
      <c r="D27" s="6"/>
      <c r="E27" s="32"/>
      <c r="F27" s="6"/>
      <c r="G27" s="32"/>
      <c r="H27" s="6"/>
      <c r="I27" s="6"/>
      <c r="J27" s="6"/>
      <c r="K27" s="6"/>
      <c r="L27" s="6"/>
      <c r="M27" s="6"/>
      <c r="N27" s="6"/>
      <c r="O27" s="6"/>
    </row>
    <row r="28" spans="1:17" s="89" customFormat="1">
      <c r="A28" s="23"/>
      <c r="B28" s="6"/>
      <c r="C28" s="6"/>
      <c r="D28" s="6"/>
      <c r="E28" s="32"/>
      <c r="F28" s="6"/>
      <c r="G28" s="32"/>
      <c r="H28" s="6"/>
      <c r="I28" s="6"/>
      <c r="J28" s="6"/>
      <c r="K28" s="6"/>
      <c r="L28" s="6"/>
      <c r="M28" s="6"/>
      <c r="N28" s="6"/>
      <c r="O28" s="6"/>
    </row>
    <row r="29" spans="1:17" s="89" customFormat="1">
      <c r="A29" s="8"/>
      <c r="B29" s="6"/>
      <c r="C29" s="6"/>
      <c r="D29" s="6"/>
      <c r="E29" s="32"/>
      <c r="F29" s="6"/>
      <c r="G29" s="32"/>
      <c r="H29" s="6"/>
      <c r="I29" s="6"/>
      <c r="J29" s="6"/>
      <c r="K29" s="6"/>
      <c r="L29" s="6"/>
      <c r="M29" s="6"/>
      <c r="N29" s="6"/>
      <c r="O29" s="6"/>
    </row>
    <row r="30" spans="1:17" s="89" customFormat="1">
      <c r="A30" s="8"/>
      <c r="B30" s="6"/>
      <c r="C30" s="6"/>
      <c r="D30" s="6"/>
      <c r="E30" s="32"/>
      <c r="F30" s="6"/>
      <c r="G30" s="32"/>
      <c r="H30" s="6"/>
      <c r="I30" s="6"/>
      <c r="J30" s="6"/>
      <c r="K30" s="6"/>
      <c r="L30" s="6"/>
      <c r="M30" s="6"/>
      <c r="N30" s="6"/>
      <c r="O30" s="6"/>
    </row>
    <row r="31" spans="1:17" s="89" customFormat="1">
      <c r="A31" s="8"/>
      <c r="B31" s="6"/>
      <c r="C31" s="6"/>
      <c r="D31" s="6"/>
      <c r="E31" s="32"/>
      <c r="F31" s="6"/>
      <c r="G31" s="32"/>
      <c r="H31" s="6"/>
      <c r="I31" s="6"/>
      <c r="J31" s="6"/>
      <c r="K31" s="6"/>
      <c r="L31" s="6"/>
      <c r="M31" s="6"/>
      <c r="N31" s="6"/>
      <c r="O31" s="6"/>
    </row>
    <row r="32" spans="1:17" s="89" customFormat="1">
      <c r="A32" s="8"/>
      <c r="B32" s="6"/>
      <c r="C32" s="6"/>
      <c r="D32" s="6"/>
      <c r="E32" s="32"/>
      <c r="F32" s="6"/>
      <c r="G32" s="32"/>
      <c r="H32" s="6"/>
      <c r="I32" s="6"/>
      <c r="J32" s="6"/>
      <c r="K32" s="6"/>
      <c r="L32" s="6"/>
      <c r="M32" s="6"/>
      <c r="N32" s="6"/>
      <c r="O32" s="6"/>
    </row>
    <row r="33" spans="1:15" s="89" customFormat="1">
      <c r="A33" s="8"/>
      <c r="B33" s="6"/>
      <c r="C33" s="6"/>
      <c r="D33" s="6"/>
      <c r="E33" s="32"/>
      <c r="F33" s="6"/>
      <c r="G33" s="32"/>
      <c r="H33" s="6"/>
      <c r="I33" s="6"/>
      <c r="J33" s="6"/>
      <c r="K33" s="6"/>
      <c r="L33" s="6"/>
      <c r="M33" s="6"/>
      <c r="N33" s="6"/>
      <c r="O33" s="6"/>
    </row>
    <row r="34" spans="1:15" s="89" customFormat="1">
      <c r="A34" s="8"/>
      <c r="B34" s="6"/>
      <c r="C34" s="6"/>
      <c r="D34" s="6"/>
      <c r="E34" s="32"/>
      <c r="F34" s="6"/>
      <c r="G34" s="32"/>
      <c r="H34" s="6"/>
      <c r="I34" s="6"/>
      <c r="J34" s="6"/>
      <c r="K34" s="6"/>
      <c r="L34" s="6"/>
      <c r="M34" s="6"/>
      <c r="N34" s="6"/>
      <c r="O34" s="6"/>
    </row>
    <row r="35" spans="1:15" s="89" customFormat="1">
      <c r="A35" s="8"/>
      <c r="B35" s="6"/>
      <c r="C35" s="6"/>
      <c r="D35" s="6"/>
      <c r="E35" s="32"/>
      <c r="F35" s="6"/>
      <c r="G35" s="32"/>
      <c r="H35" s="6"/>
      <c r="I35" s="6"/>
      <c r="J35" s="6"/>
      <c r="K35" s="6"/>
      <c r="L35" s="6"/>
      <c r="M35" s="6"/>
      <c r="N35" s="6"/>
      <c r="O35" s="6"/>
    </row>
    <row r="36" spans="1:15" s="89" customFormat="1">
      <c r="A36" s="8"/>
      <c r="B36" s="6"/>
      <c r="C36" s="6"/>
      <c r="D36" s="6"/>
      <c r="E36" s="32"/>
      <c r="F36" s="6"/>
      <c r="G36" s="32"/>
      <c r="H36" s="6"/>
      <c r="I36" s="6"/>
      <c r="J36" s="6"/>
      <c r="K36" s="6"/>
      <c r="L36" s="6"/>
      <c r="M36" s="6"/>
      <c r="N36" s="6"/>
      <c r="O36" s="6"/>
    </row>
    <row r="37" spans="1:15" s="89" customFormat="1">
      <c r="A37" s="8"/>
      <c r="B37" s="6"/>
      <c r="C37" s="6"/>
      <c r="D37" s="6"/>
      <c r="E37" s="32"/>
      <c r="F37" s="6"/>
      <c r="G37" s="32"/>
      <c r="H37" s="6"/>
      <c r="I37" s="6"/>
      <c r="J37" s="6"/>
      <c r="K37" s="6"/>
      <c r="L37" s="6"/>
      <c r="M37" s="6"/>
      <c r="N37" s="6"/>
      <c r="O37" s="6"/>
    </row>
    <row r="38" spans="1:15" s="89" customFormat="1">
      <c r="A38" s="8"/>
      <c r="B38" s="6"/>
      <c r="C38" s="6"/>
      <c r="D38" s="6"/>
      <c r="E38" s="32"/>
      <c r="F38" s="6"/>
      <c r="G38" s="32"/>
      <c r="H38" s="6"/>
      <c r="I38" s="6"/>
      <c r="J38" s="6"/>
      <c r="K38" s="6"/>
      <c r="L38" s="6"/>
      <c r="M38" s="6"/>
      <c r="N38" s="6"/>
      <c r="O38" s="6"/>
    </row>
    <row r="39" spans="1:15" s="89" customFormat="1">
      <c r="A39" s="8"/>
      <c r="B39" s="6"/>
      <c r="C39" s="6"/>
      <c r="D39" s="6"/>
      <c r="E39" s="32"/>
      <c r="F39" s="6"/>
      <c r="G39" s="32"/>
      <c r="H39" s="6"/>
      <c r="I39" s="6"/>
      <c r="J39" s="6"/>
      <c r="K39" s="6"/>
      <c r="L39" s="6"/>
      <c r="M39" s="6"/>
      <c r="N39" s="6"/>
      <c r="O39" s="6"/>
    </row>
    <row r="40" spans="1:15" s="89" customFormat="1">
      <c r="A40" s="8"/>
      <c r="B40" s="6"/>
      <c r="C40" s="6"/>
      <c r="D40" s="6"/>
      <c r="E40" s="32"/>
      <c r="F40" s="6"/>
      <c r="G40" s="32"/>
      <c r="H40" s="6"/>
      <c r="I40" s="6"/>
      <c r="J40" s="6"/>
      <c r="K40" s="6"/>
      <c r="L40" s="6"/>
      <c r="M40" s="6"/>
      <c r="N40" s="6"/>
      <c r="O40" s="6"/>
    </row>
    <row r="41" spans="1:15" s="89" customFormat="1">
      <c r="A41" s="8"/>
      <c r="B41" s="6"/>
      <c r="C41" s="6"/>
      <c r="D41" s="6"/>
      <c r="E41" s="32"/>
      <c r="F41" s="6"/>
      <c r="G41" s="32"/>
      <c r="H41" s="6"/>
      <c r="I41" s="6"/>
      <c r="J41" s="6"/>
      <c r="K41" s="6"/>
      <c r="L41" s="6"/>
      <c r="M41" s="6"/>
      <c r="N41" s="6"/>
      <c r="O41" s="6"/>
    </row>
    <row r="42" spans="1:15" s="89" customFormat="1">
      <c r="A42" s="8"/>
      <c r="B42" s="6"/>
      <c r="C42" s="6"/>
      <c r="D42" s="6"/>
      <c r="E42" s="32"/>
      <c r="F42" s="6"/>
      <c r="G42" s="32"/>
      <c r="H42" s="6"/>
      <c r="I42" s="6"/>
      <c r="J42" s="6"/>
      <c r="K42" s="6"/>
      <c r="L42" s="6"/>
      <c r="M42" s="6"/>
      <c r="N42" s="6"/>
      <c r="O42" s="6"/>
    </row>
    <row r="43" spans="1:15" s="89" customFormat="1">
      <c r="A43" s="8"/>
      <c r="B43" s="6"/>
      <c r="C43" s="6"/>
      <c r="D43" s="6"/>
      <c r="E43" s="32"/>
      <c r="F43" s="6"/>
      <c r="G43" s="32"/>
      <c r="H43" s="6"/>
      <c r="I43" s="6"/>
      <c r="J43" s="6"/>
      <c r="K43" s="6"/>
      <c r="L43" s="6"/>
      <c r="M43" s="6"/>
      <c r="N43" s="6"/>
      <c r="O43" s="6"/>
    </row>
    <row r="44" spans="1:15" s="89" customFormat="1">
      <c r="A44" s="8"/>
      <c r="B44" s="6"/>
      <c r="C44" s="6"/>
      <c r="D44" s="6"/>
      <c r="E44" s="32"/>
      <c r="F44" s="6"/>
      <c r="G44" s="32"/>
      <c r="H44" s="6"/>
      <c r="I44" s="6"/>
      <c r="J44" s="6"/>
      <c r="K44" s="6"/>
      <c r="L44" s="6"/>
      <c r="M44" s="6"/>
      <c r="N44" s="6"/>
      <c r="O44" s="6"/>
    </row>
    <row r="45" spans="1:15" s="89" customFormat="1">
      <c r="A45" s="8"/>
      <c r="B45" s="6"/>
      <c r="C45" s="6"/>
      <c r="D45" s="6"/>
      <c r="E45" s="32"/>
      <c r="F45" s="6"/>
      <c r="G45" s="32"/>
      <c r="H45" s="6"/>
      <c r="I45" s="6"/>
      <c r="J45" s="6"/>
      <c r="K45" s="6"/>
      <c r="L45" s="6"/>
      <c r="M45" s="6"/>
      <c r="N45" s="6"/>
      <c r="O45" s="6"/>
    </row>
    <row r="46" spans="1:15" s="89" customFormat="1">
      <c r="A46" s="8"/>
      <c r="B46" s="6"/>
      <c r="C46" s="6"/>
      <c r="D46" s="6"/>
      <c r="E46" s="32"/>
      <c r="F46" s="6"/>
      <c r="G46" s="32"/>
      <c r="H46" s="6"/>
      <c r="I46" s="6"/>
      <c r="J46" s="6"/>
      <c r="K46" s="6"/>
      <c r="L46" s="6"/>
      <c r="M46" s="6"/>
      <c r="N46" s="6"/>
      <c r="O46" s="6"/>
    </row>
    <row r="47" spans="1:15" s="89" customFormat="1">
      <c r="A47" s="8"/>
      <c r="B47" s="6"/>
      <c r="C47" s="6"/>
      <c r="D47" s="6"/>
      <c r="E47" s="32"/>
      <c r="F47" s="6"/>
      <c r="G47" s="32"/>
      <c r="H47" s="6"/>
      <c r="I47" s="6"/>
      <c r="J47" s="6"/>
      <c r="K47" s="6"/>
      <c r="L47" s="6"/>
      <c r="M47" s="6"/>
      <c r="N47" s="6"/>
      <c r="O47" s="6"/>
    </row>
    <row r="48" spans="1:15" s="89" customFormat="1">
      <c r="A48" s="8"/>
      <c r="B48" s="6"/>
      <c r="C48" s="6"/>
      <c r="D48" s="6"/>
      <c r="E48" s="32"/>
      <c r="F48" s="6"/>
      <c r="G48" s="32"/>
      <c r="H48" s="6"/>
      <c r="I48" s="6"/>
      <c r="J48" s="6"/>
      <c r="K48" s="6"/>
      <c r="L48" s="6"/>
      <c r="M48" s="6"/>
      <c r="N48" s="6"/>
      <c r="O48" s="6"/>
    </row>
    <row r="49" spans="1:15" s="90" customFormat="1">
      <c r="A49" s="9"/>
      <c r="B49" s="7"/>
      <c r="C49" s="7"/>
      <c r="D49" s="7"/>
      <c r="E49" s="33"/>
      <c r="F49" s="7"/>
      <c r="G49" s="33"/>
      <c r="H49" s="7"/>
      <c r="I49" s="7"/>
      <c r="J49" s="7"/>
      <c r="K49" s="7"/>
      <c r="L49" s="7"/>
      <c r="M49" s="7"/>
      <c r="N49" s="7"/>
      <c r="O49" s="7"/>
    </row>
    <row r="50" spans="1:15" s="90" customFormat="1">
      <c r="A50" s="9"/>
      <c r="B50" s="7"/>
      <c r="C50" s="7"/>
      <c r="D50" s="7"/>
      <c r="E50" s="33"/>
      <c r="F50" s="7"/>
      <c r="G50" s="33"/>
      <c r="H50" s="7"/>
      <c r="I50" s="7"/>
      <c r="J50" s="7"/>
      <c r="K50" s="7"/>
      <c r="L50" s="7"/>
      <c r="M50" s="7"/>
      <c r="N50" s="7"/>
      <c r="O50" s="7"/>
    </row>
    <row r="51" spans="1:15" s="90" customFormat="1">
      <c r="A51" s="9"/>
      <c r="B51" s="7"/>
      <c r="C51" s="7"/>
      <c r="D51" s="7"/>
      <c r="E51" s="33"/>
      <c r="F51" s="7"/>
      <c r="G51" s="33"/>
      <c r="H51" s="7"/>
      <c r="I51" s="7"/>
      <c r="J51" s="7"/>
      <c r="K51" s="7"/>
      <c r="L51" s="7"/>
      <c r="M51" s="7"/>
      <c r="N51" s="7"/>
      <c r="O51" s="7"/>
    </row>
    <row r="52" spans="1:15" s="90" customFormat="1">
      <c r="A52" s="9"/>
      <c r="B52" s="7"/>
      <c r="C52" s="7"/>
      <c r="D52" s="7"/>
      <c r="E52" s="33"/>
      <c r="F52" s="7"/>
      <c r="G52" s="33"/>
      <c r="H52" s="7"/>
      <c r="I52" s="7"/>
      <c r="J52" s="7"/>
      <c r="K52" s="7"/>
      <c r="L52" s="7"/>
      <c r="M52" s="7"/>
      <c r="N52" s="7"/>
      <c r="O52" s="7"/>
    </row>
    <row r="53" spans="1:15" s="90" customFormat="1">
      <c r="A53" s="9"/>
      <c r="B53" s="7"/>
      <c r="C53" s="7"/>
      <c r="D53" s="7"/>
      <c r="E53" s="33"/>
      <c r="F53" s="7"/>
      <c r="G53" s="33"/>
      <c r="H53" s="7"/>
      <c r="I53" s="7"/>
      <c r="J53" s="7"/>
      <c r="K53" s="7"/>
      <c r="L53" s="7"/>
      <c r="M53" s="7"/>
      <c r="N53" s="7"/>
      <c r="O53" s="7"/>
    </row>
    <row r="54" spans="1:15" s="90" customFormat="1">
      <c r="A54" s="9"/>
      <c r="B54" s="7"/>
      <c r="C54" s="7"/>
      <c r="D54" s="7"/>
      <c r="E54" s="33"/>
      <c r="F54" s="7"/>
      <c r="G54" s="33"/>
      <c r="H54" s="7"/>
      <c r="I54" s="7"/>
      <c r="J54" s="7"/>
      <c r="K54" s="7"/>
      <c r="L54" s="7"/>
      <c r="M54" s="7"/>
      <c r="N54" s="7"/>
      <c r="O54" s="7"/>
    </row>
    <row r="55" spans="1:15">
      <c r="A55" s="2"/>
    </row>
    <row r="56" spans="1:15">
      <c r="A56" s="2"/>
    </row>
    <row r="57" spans="1:15">
      <c r="A57" s="2"/>
    </row>
    <row r="58" spans="1:15">
      <c r="A58" s="2"/>
    </row>
    <row r="59" spans="1:15">
      <c r="A59" s="2"/>
    </row>
    <row r="60" spans="1:15">
      <c r="A60" s="2"/>
    </row>
    <row r="61" spans="1:15">
      <c r="A61" s="2"/>
    </row>
    <row r="62" spans="1:15">
      <c r="A62" s="2"/>
    </row>
    <row r="63" spans="1:15">
      <c r="A63" s="2"/>
    </row>
    <row r="64" spans="1:15">
      <c r="A64" s="2"/>
    </row>
    <row r="65" spans="1:1">
      <c r="A65" s="2"/>
    </row>
    <row r="66" spans="1:1">
      <c r="A66" s="2"/>
    </row>
    <row r="67" spans="1:1">
      <c r="A67" s="2"/>
    </row>
  </sheetData>
  <sheetProtection password="CA6A" sheet="1"/>
  <mergeCells count="12">
    <mergeCell ref="A1:O1"/>
    <mergeCell ref="L3:M4"/>
    <mergeCell ref="N3:O4"/>
    <mergeCell ref="H4:I4"/>
    <mergeCell ref="A3:A5"/>
    <mergeCell ref="F4:G4"/>
    <mergeCell ref="D3:E4"/>
    <mergeCell ref="B3:B5"/>
    <mergeCell ref="C3:C5"/>
    <mergeCell ref="A26:B26"/>
    <mergeCell ref="J4:K4"/>
    <mergeCell ref="F3:K3"/>
  </mergeCells>
  <phoneticPr fontId="2" type="noConversion"/>
  <printOptions horizontalCentered="1"/>
  <pageMargins left="0.26" right="0.28000000000000003" top="0.54" bottom="0.23" header="0.2" footer="0.16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zoomScaleSheetLayoutView="70" workbookViewId="0">
      <pane xSplit="2" ySplit="6" topLeftCell="C16" activePane="bottomRight" state="frozen"/>
      <selection activeCell="C27" sqref="C27"/>
      <selection pane="topRight" activeCell="C27" sqref="C27"/>
      <selection pane="bottomLeft" activeCell="C27" sqref="C27"/>
      <selection pane="bottomRight" activeCell="F5" sqref="F5:G5"/>
    </sheetView>
  </sheetViews>
  <sheetFormatPr defaultRowHeight="13.5"/>
  <cols>
    <col min="1" max="1" width="9.21875" style="1" customWidth="1"/>
    <col min="2" max="2" width="5.5546875" style="4" customWidth="1"/>
    <col min="3" max="4" width="9.21875" style="4" customWidth="1"/>
    <col min="5" max="5" width="9.21875" style="31" customWidth="1"/>
    <col min="6" max="6" width="9.21875" style="4" customWidth="1"/>
    <col min="7" max="7" width="9.21875" style="31" customWidth="1"/>
    <col min="8" max="15" width="9.21875" style="4" customWidth="1"/>
    <col min="16" max="16384" width="8.88671875" style="86"/>
  </cols>
  <sheetData>
    <row r="1" spans="1:15" ht="21.75" customHeight="1"/>
    <row r="2" spans="1:15" ht="27">
      <c r="A2" s="146" t="s">
        <v>56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</row>
    <row r="3" spans="1:15" ht="16.5">
      <c r="A3" s="42"/>
      <c r="O3" s="24" t="s">
        <v>69</v>
      </c>
    </row>
    <row r="4" spans="1:15" s="80" customFormat="1" ht="27.75" customHeight="1">
      <c r="A4" s="126" t="s">
        <v>41</v>
      </c>
      <c r="B4" s="135" t="s">
        <v>89</v>
      </c>
      <c r="C4" s="138" t="s">
        <v>1</v>
      </c>
      <c r="D4" s="131" t="s">
        <v>4</v>
      </c>
      <c r="E4" s="132"/>
      <c r="F4" s="143" t="s">
        <v>37</v>
      </c>
      <c r="G4" s="144"/>
      <c r="H4" s="144"/>
      <c r="I4" s="144"/>
      <c r="J4" s="144"/>
      <c r="K4" s="145"/>
      <c r="L4" s="131" t="s">
        <v>38</v>
      </c>
      <c r="M4" s="132"/>
      <c r="N4" s="131" t="s">
        <v>6</v>
      </c>
      <c r="O4" s="147"/>
    </row>
    <row r="5" spans="1:15" s="80" customFormat="1" ht="27.75" customHeight="1">
      <c r="A5" s="127"/>
      <c r="B5" s="136"/>
      <c r="C5" s="139"/>
      <c r="D5" s="133"/>
      <c r="E5" s="134"/>
      <c r="F5" s="129" t="s">
        <v>62</v>
      </c>
      <c r="G5" s="130"/>
      <c r="H5" s="129" t="s">
        <v>71</v>
      </c>
      <c r="I5" s="130"/>
      <c r="J5" s="129" t="s">
        <v>5</v>
      </c>
      <c r="K5" s="130"/>
      <c r="L5" s="133"/>
      <c r="M5" s="134"/>
      <c r="N5" s="133"/>
      <c r="O5" s="148"/>
    </row>
    <row r="6" spans="1:15" s="80" customFormat="1" ht="27.75" customHeight="1">
      <c r="A6" s="128"/>
      <c r="B6" s="137"/>
      <c r="C6" s="140"/>
      <c r="D6" s="73"/>
      <c r="E6" s="74" t="s">
        <v>3</v>
      </c>
      <c r="F6" s="40" t="s">
        <v>45</v>
      </c>
      <c r="G6" s="74" t="s">
        <v>3</v>
      </c>
      <c r="H6" s="40" t="s">
        <v>46</v>
      </c>
      <c r="I6" s="75" t="s">
        <v>3</v>
      </c>
      <c r="J6" s="73"/>
      <c r="K6" s="75" t="s">
        <v>3</v>
      </c>
      <c r="L6" s="73"/>
      <c r="M6" s="75" t="s">
        <v>3</v>
      </c>
      <c r="N6" s="73"/>
      <c r="O6" s="76" t="s">
        <v>3</v>
      </c>
    </row>
    <row r="7" spans="1:15" s="80" customFormat="1" ht="39" customHeight="1">
      <c r="A7" s="58" t="s">
        <v>2</v>
      </c>
      <c r="B7" s="59">
        <f>SUM(B8,B10)</f>
        <v>19</v>
      </c>
      <c r="C7" s="30">
        <f>SUM(C8:C10)</f>
        <v>44035</v>
      </c>
      <c r="D7" s="30">
        <f>SUM(D8:D10)</f>
        <v>27899</v>
      </c>
      <c r="E7" s="60">
        <f>D7/C7*100</f>
        <v>63.356421028727148</v>
      </c>
      <c r="F7" s="30">
        <f>SUM(F8:F10)</f>
        <v>15610</v>
      </c>
      <c r="G7" s="60">
        <f t="shared" ref="G7:G18" si="0">F7/$J7*100</f>
        <v>56.357859773268828</v>
      </c>
      <c r="H7" s="30">
        <f>SUM(H8:H10)</f>
        <v>12088</v>
      </c>
      <c r="I7" s="60">
        <f t="shared" ref="I7:I18" si="1">H7/$J7*100</f>
        <v>43.642140226731172</v>
      </c>
      <c r="J7" s="30">
        <f>SUM(J8:J10)</f>
        <v>27698</v>
      </c>
      <c r="K7" s="60">
        <f t="shared" ref="K7:K18" si="2">J7/$D7*100</f>
        <v>99.279544069679915</v>
      </c>
      <c r="L7" s="30">
        <f>SUM(L8:L10)</f>
        <v>741</v>
      </c>
      <c r="M7" s="60">
        <f t="shared" ref="M7:M18" si="3">L7/$D7*100</f>
        <v>2.6560091759561275</v>
      </c>
      <c r="N7" s="30">
        <f>SUM(N8:N10)</f>
        <v>16136</v>
      </c>
      <c r="O7" s="61">
        <f t="shared" ref="O7:O17" si="4">N7/$C7*100</f>
        <v>36.643578971272852</v>
      </c>
    </row>
    <row r="8" spans="1:15" s="80" customFormat="1" ht="39" customHeight="1">
      <c r="A8" s="63" t="s">
        <v>61</v>
      </c>
      <c r="B8" s="66"/>
      <c r="C8" s="64">
        <v>5178</v>
      </c>
      <c r="D8" s="64">
        <v>5169</v>
      </c>
      <c r="E8" s="50">
        <f>D8/C8*100</f>
        <v>99.826187717265356</v>
      </c>
      <c r="F8" s="64">
        <v>3171</v>
      </c>
      <c r="G8" s="50">
        <f t="shared" si="0"/>
        <v>57.001617832104976</v>
      </c>
      <c r="H8" s="64">
        <v>2392</v>
      </c>
      <c r="I8" s="50">
        <f t="shared" si="1"/>
        <v>42.998382167895024</v>
      </c>
      <c r="J8" s="64">
        <f>F8+H8</f>
        <v>5563</v>
      </c>
      <c r="K8" s="50">
        <f t="shared" si="2"/>
        <v>107.62236409363513</v>
      </c>
      <c r="L8" s="64">
        <v>146</v>
      </c>
      <c r="M8" s="50">
        <f t="shared" si="3"/>
        <v>2.824530857032308</v>
      </c>
      <c r="N8" s="65">
        <v>9</v>
      </c>
      <c r="O8" s="51">
        <f t="shared" si="4"/>
        <v>0.17381228273464658</v>
      </c>
    </row>
    <row r="9" spans="1:15" s="80" customFormat="1" ht="39" customHeight="1">
      <c r="A9" s="63" t="s">
        <v>60</v>
      </c>
      <c r="B9" s="66"/>
      <c r="C9" s="64">
        <v>202</v>
      </c>
      <c r="D9" s="64">
        <v>187</v>
      </c>
      <c r="E9" s="50">
        <f>D9/C9*100</f>
        <v>92.574257425742573</v>
      </c>
      <c r="F9" s="64">
        <v>113</v>
      </c>
      <c r="G9" s="50">
        <f t="shared" si="0"/>
        <v>65.317919075144502</v>
      </c>
      <c r="H9" s="64">
        <v>60</v>
      </c>
      <c r="I9" s="50">
        <f t="shared" si="1"/>
        <v>34.682080924855491</v>
      </c>
      <c r="J9" s="64">
        <f>F9+H9</f>
        <v>173</v>
      </c>
      <c r="K9" s="50">
        <f>J9/$D9*100</f>
        <v>92.513368983957221</v>
      </c>
      <c r="L9" s="64">
        <f>D9-J9</f>
        <v>14</v>
      </c>
      <c r="M9" s="50">
        <f>L9/$D9*100</f>
        <v>7.4866310160427805</v>
      </c>
      <c r="N9" s="65">
        <f>C9-D9</f>
        <v>15</v>
      </c>
      <c r="O9" s="51">
        <f>N9/$C9*100</f>
        <v>7.4257425742574252</v>
      </c>
    </row>
    <row r="10" spans="1:15" s="80" customFormat="1" ht="39" customHeight="1">
      <c r="A10" s="58" t="s">
        <v>39</v>
      </c>
      <c r="B10" s="59">
        <f>SUM(B11:B17)</f>
        <v>19</v>
      </c>
      <c r="C10" s="30">
        <f>SUM(C11:C17)</f>
        <v>38655</v>
      </c>
      <c r="D10" s="30">
        <f>SUM(D11:D18)</f>
        <v>22543</v>
      </c>
      <c r="E10" s="60">
        <f>D10/C10*100</f>
        <v>58.318458155477948</v>
      </c>
      <c r="F10" s="30">
        <f>SUM(F11:F18)</f>
        <v>12326</v>
      </c>
      <c r="G10" s="60">
        <f t="shared" si="0"/>
        <v>56.124214552408702</v>
      </c>
      <c r="H10" s="30">
        <f>SUM(H11:H18)</f>
        <v>9636</v>
      </c>
      <c r="I10" s="60">
        <f t="shared" si="1"/>
        <v>43.875785447591291</v>
      </c>
      <c r="J10" s="30">
        <f>SUM(J11:J18)</f>
        <v>21962</v>
      </c>
      <c r="K10" s="60">
        <f t="shared" si="2"/>
        <v>97.422703278179483</v>
      </c>
      <c r="L10" s="30">
        <f>SUM(L11:L18)</f>
        <v>581</v>
      </c>
      <c r="M10" s="60">
        <f t="shared" si="3"/>
        <v>2.5772967218205207</v>
      </c>
      <c r="N10" s="30">
        <f>SUM(N11:N18)</f>
        <v>16112</v>
      </c>
      <c r="O10" s="61">
        <f t="shared" si="4"/>
        <v>41.681541844522052</v>
      </c>
    </row>
    <row r="11" spans="1:15" s="80" customFormat="1" ht="39" customHeight="1">
      <c r="A11" s="63" t="s">
        <v>11</v>
      </c>
      <c r="B11" s="68">
        <v>1</v>
      </c>
      <c r="C11" s="49">
        <v>1807</v>
      </c>
      <c r="D11" s="28">
        <v>1137</v>
      </c>
      <c r="E11" s="50">
        <f t="shared" ref="E11:E17" si="5">D11/C11*100</f>
        <v>62.921970116214723</v>
      </c>
      <c r="F11" s="28">
        <v>722</v>
      </c>
      <c r="G11" s="50">
        <f t="shared" si="0"/>
        <v>65.996343692870198</v>
      </c>
      <c r="H11" s="28">
        <v>372</v>
      </c>
      <c r="I11" s="50">
        <f t="shared" si="1"/>
        <v>34.003656307129795</v>
      </c>
      <c r="J11" s="64">
        <f>F11+H11</f>
        <v>1094</v>
      </c>
      <c r="K11" s="50">
        <f t="shared" si="2"/>
        <v>96.218117854001761</v>
      </c>
      <c r="L11" s="28">
        <f t="shared" ref="L11:L18" si="6">D11-J11</f>
        <v>43</v>
      </c>
      <c r="M11" s="50">
        <f t="shared" si="3"/>
        <v>3.781882145998241</v>
      </c>
      <c r="N11" s="28">
        <f t="shared" ref="N11:N17" si="7">C11-D11</f>
        <v>670</v>
      </c>
      <c r="O11" s="51">
        <f t="shared" si="4"/>
        <v>37.078029883785277</v>
      </c>
    </row>
    <row r="12" spans="1:15" s="80" customFormat="1" ht="39" customHeight="1">
      <c r="A12" s="63" t="s">
        <v>12</v>
      </c>
      <c r="B12" s="68">
        <v>2</v>
      </c>
      <c r="C12" s="49">
        <v>2329</v>
      </c>
      <c r="D12" s="28">
        <v>1468</v>
      </c>
      <c r="E12" s="50">
        <f t="shared" si="5"/>
        <v>63.031343924431084</v>
      </c>
      <c r="F12" s="28">
        <v>905</v>
      </c>
      <c r="G12" s="50">
        <f t="shared" si="0"/>
        <v>64.458689458689449</v>
      </c>
      <c r="H12" s="28">
        <v>499</v>
      </c>
      <c r="I12" s="50">
        <f t="shared" si="1"/>
        <v>35.541310541310537</v>
      </c>
      <c r="J12" s="64">
        <f t="shared" ref="J12:J18" si="8">F12+H12</f>
        <v>1404</v>
      </c>
      <c r="K12" s="50">
        <f t="shared" si="2"/>
        <v>95.640326975476839</v>
      </c>
      <c r="L12" s="28">
        <f t="shared" si="6"/>
        <v>64</v>
      </c>
      <c r="M12" s="50">
        <f t="shared" si="3"/>
        <v>4.3596730245231603</v>
      </c>
      <c r="N12" s="28">
        <f t="shared" si="7"/>
        <v>861</v>
      </c>
      <c r="O12" s="51">
        <f t="shared" si="4"/>
        <v>36.968656075568909</v>
      </c>
    </row>
    <row r="13" spans="1:15" s="80" customFormat="1" ht="39" customHeight="1">
      <c r="A13" s="63" t="s">
        <v>13</v>
      </c>
      <c r="B13" s="68">
        <v>1</v>
      </c>
      <c r="C13" s="49">
        <v>858</v>
      </c>
      <c r="D13" s="28">
        <v>551</v>
      </c>
      <c r="E13" s="50">
        <f t="shared" si="5"/>
        <v>64.219114219114218</v>
      </c>
      <c r="F13" s="28">
        <v>362</v>
      </c>
      <c r="G13" s="50">
        <f t="shared" si="0"/>
        <v>68.301886792452819</v>
      </c>
      <c r="H13" s="28">
        <v>168</v>
      </c>
      <c r="I13" s="50">
        <f t="shared" si="1"/>
        <v>31.69811320754717</v>
      </c>
      <c r="J13" s="64">
        <f t="shared" si="8"/>
        <v>530</v>
      </c>
      <c r="K13" s="50">
        <f t="shared" si="2"/>
        <v>96.188747731397456</v>
      </c>
      <c r="L13" s="28">
        <f t="shared" si="6"/>
        <v>21</v>
      </c>
      <c r="M13" s="50">
        <f t="shared" si="3"/>
        <v>3.8112522686025407</v>
      </c>
      <c r="N13" s="28">
        <f t="shared" si="7"/>
        <v>307</v>
      </c>
      <c r="O13" s="51">
        <f t="shared" si="4"/>
        <v>35.780885780885782</v>
      </c>
    </row>
    <row r="14" spans="1:15" s="80" customFormat="1" ht="39" customHeight="1">
      <c r="A14" s="63" t="s">
        <v>14</v>
      </c>
      <c r="B14" s="68">
        <v>3</v>
      </c>
      <c r="C14" s="49">
        <v>3617</v>
      </c>
      <c r="D14" s="28">
        <v>2356</v>
      </c>
      <c r="E14" s="50">
        <f t="shared" si="5"/>
        <v>65.136853746198511</v>
      </c>
      <c r="F14" s="28">
        <v>1469</v>
      </c>
      <c r="G14" s="50">
        <f t="shared" si="0"/>
        <v>64.571428571428569</v>
      </c>
      <c r="H14" s="28">
        <v>806</v>
      </c>
      <c r="I14" s="50">
        <f t="shared" si="1"/>
        <v>35.428571428571423</v>
      </c>
      <c r="J14" s="64">
        <f t="shared" si="8"/>
        <v>2275</v>
      </c>
      <c r="K14" s="50">
        <f t="shared" si="2"/>
        <v>96.561969439728358</v>
      </c>
      <c r="L14" s="28">
        <f t="shared" si="6"/>
        <v>81</v>
      </c>
      <c r="M14" s="50">
        <f t="shared" si="3"/>
        <v>3.4380305602716468</v>
      </c>
      <c r="N14" s="28">
        <f t="shared" si="7"/>
        <v>1261</v>
      </c>
      <c r="O14" s="51">
        <f t="shared" si="4"/>
        <v>34.863146253801489</v>
      </c>
    </row>
    <row r="15" spans="1:15" s="80" customFormat="1" ht="39" customHeight="1">
      <c r="A15" s="63" t="s">
        <v>15</v>
      </c>
      <c r="B15" s="68">
        <v>3</v>
      </c>
      <c r="C15" s="49">
        <v>4672</v>
      </c>
      <c r="D15" s="28">
        <v>2866</v>
      </c>
      <c r="E15" s="50">
        <f t="shared" si="5"/>
        <v>61.344178082191782</v>
      </c>
      <c r="F15" s="28">
        <v>1756</v>
      </c>
      <c r="G15" s="50">
        <f t="shared" si="0"/>
        <v>63.669325598259604</v>
      </c>
      <c r="H15" s="28">
        <v>1002</v>
      </c>
      <c r="I15" s="50">
        <f t="shared" si="1"/>
        <v>36.330674401740396</v>
      </c>
      <c r="J15" s="64">
        <f t="shared" si="8"/>
        <v>2758</v>
      </c>
      <c r="K15" s="50">
        <f t="shared" si="2"/>
        <v>96.231681786461962</v>
      </c>
      <c r="L15" s="28">
        <f t="shared" si="6"/>
        <v>108</v>
      </c>
      <c r="M15" s="50">
        <f t="shared" si="3"/>
        <v>3.768318213538032</v>
      </c>
      <c r="N15" s="28">
        <f t="shared" si="7"/>
        <v>1806</v>
      </c>
      <c r="O15" s="51">
        <f t="shared" si="4"/>
        <v>38.655821917808218</v>
      </c>
    </row>
    <row r="16" spans="1:15" s="80" customFormat="1" ht="39" customHeight="1">
      <c r="A16" s="63" t="s">
        <v>18</v>
      </c>
      <c r="B16" s="68">
        <v>6</v>
      </c>
      <c r="C16" s="49">
        <v>18581</v>
      </c>
      <c r="D16" s="28">
        <v>10266</v>
      </c>
      <c r="E16" s="50">
        <f t="shared" si="5"/>
        <v>55.249986545395835</v>
      </c>
      <c r="F16" s="28">
        <v>5180</v>
      </c>
      <c r="G16" s="50">
        <f t="shared" si="0"/>
        <v>51.388888888888886</v>
      </c>
      <c r="H16" s="28">
        <v>4900</v>
      </c>
      <c r="I16" s="50">
        <f t="shared" si="1"/>
        <v>48.611111111111107</v>
      </c>
      <c r="J16" s="64">
        <f t="shared" si="8"/>
        <v>10080</v>
      </c>
      <c r="K16" s="50">
        <f t="shared" si="2"/>
        <v>98.188194038573926</v>
      </c>
      <c r="L16" s="28">
        <f t="shared" si="6"/>
        <v>186</v>
      </c>
      <c r="M16" s="50">
        <f t="shared" si="3"/>
        <v>1.8118059614260666</v>
      </c>
      <c r="N16" s="28">
        <f t="shared" si="7"/>
        <v>8315</v>
      </c>
      <c r="O16" s="51">
        <f t="shared" si="4"/>
        <v>44.750013454604165</v>
      </c>
    </row>
    <row r="17" spans="1:15" s="80" customFormat="1" ht="39" customHeight="1">
      <c r="A17" s="93" t="s">
        <v>19</v>
      </c>
      <c r="B17" s="94">
        <v>3</v>
      </c>
      <c r="C17" s="95">
        <v>6791</v>
      </c>
      <c r="D17" s="96">
        <v>3877</v>
      </c>
      <c r="E17" s="97">
        <f t="shared" si="5"/>
        <v>57.090266529229858</v>
      </c>
      <c r="F17" s="96">
        <v>1917</v>
      </c>
      <c r="G17" s="97">
        <f t="shared" si="0"/>
        <v>50.460647538826009</v>
      </c>
      <c r="H17" s="96">
        <v>1882</v>
      </c>
      <c r="I17" s="97">
        <f t="shared" si="1"/>
        <v>49.539352461173991</v>
      </c>
      <c r="J17" s="117">
        <f t="shared" si="8"/>
        <v>3799</v>
      </c>
      <c r="K17" s="97">
        <f t="shared" si="2"/>
        <v>97.9881351560485</v>
      </c>
      <c r="L17" s="96">
        <f t="shared" si="6"/>
        <v>78</v>
      </c>
      <c r="M17" s="97">
        <f t="shared" si="3"/>
        <v>2.0118648439515092</v>
      </c>
      <c r="N17" s="96">
        <f t="shared" si="7"/>
        <v>2914</v>
      </c>
      <c r="O17" s="98">
        <f t="shared" si="4"/>
        <v>42.909733470770142</v>
      </c>
    </row>
    <row r="18" spans="1:15" s="80" customFormat="1" ht="39" customHeight="1">
      <c r="A18" s="149" t="s">
        <v>40</v>
      </c>
      <c r="B18" s="150"/>
      <c r="C18" s="99"/>
      <c r="D18" s="100">
        <v>22</v>
      </c>
      <c r="E18" s="101">
        <f>D18/D7*100</f>
        <v>7.8855872970357357E-2</v>
      </c>
      <c r="F18" s="100">
        <v>15</v>
      </c>
      <c r="G18" s="101">
        <f t="shared" si="0"/>
        <v>68.181818181818173</v>
      </c>
      <c r="H18" s="100">
        <v>7</v>
      </c>
      <c r="I18" s="101">
        <f t="shared" si="1"/>
        <v>31.818181818181817</v>
      </c>
      <c r="J18" s="118">
        <f t="shared" si="8"/>
        <v>22</v>
      </c>
      <c r="K18" s="101">
        <f t="shared" si="2"/>
        <v>100</v>
      </c>
      <c r="L18" s="100">
        <f t="shared" si="6"/>
        <v>0</v>
      </c>
      <c r="M18" s="101">
        <f t="shared" si="3"/>
        <v>0</v>
      </c>
      <c r="N18" s="100">
        <v>-22</v>
      </c>
      <c r="O18" s="102"/>
    </row>
    <row r="19" spans="1:15" s="89" customFormat="1" ht="17.25" customHeight="1">
      <c r="A19" s="23"/>
      <c r="B19" s="6"/>
      <c r="C19" s="6"/>
      <c r="D19" s="6"/>
      <c r="E19" s="32"/>
      <c r="F19" s="6"/>
      <c r="G19" s="32"/>
      <c r="H19" s="6"/>
      <c r="I19" s="6"/>
      <c r="J19" s="6"/>
      <c r="K19" s="6"/>
      <c r="L19" s="6"/>
      <c r="M19" s="6"/>
      <c r="N19" s="6"/>
      <c r="O19" s="6"/>
    </row>
    <row r="20" spans="1:15" s="89" customFormat="1">
      <c r="A20" s="23"/>
      <c r="B20" s="6"/>
      <c r="C20" s="6"/>
      <c r="D20" s="6"/>
      <c r="E20" s="32"/>
      <c r="F20" s="6"/>
      <c r="G20" s="32"/>
      <c r="H20" s="6"/>
      <c r="I20" s="6"/>
      <c r="J20" s="6"/>
      <c r="K20" s="6"/>
      <c r="L20" s="6"/>
      <c r="M20" s="6"/>
      <c r="N20" s="6"/>
      <c r="O20" s="6"/>
    </row>
    <row r="21" spans="1:15" s="89" customFormat="1">
      <c r="A21" s="8"/>
      <c r="B21" s="6"/>
      <c r="C21" s="6"/>
      <c r="D21" s="6"/>
      <c r="E21" s="32"/>
      <c r="F21" s="6"/>
      <c r="G21" s="32"/>
      <c r="H21" s="6"/>
      <c r="I21" s="6"/>
      <c r="J21" s="6"/>
      <c r="K21" s="6"/>
      <c r="L21" s="6"/>
      <c r="M21" s="6"/>
      <c r="N21" s="6"/>
      <c r="O21" s="6"/>
    </row>
    <row r="22" spans="1:15" s="89" customFormat="1">
      <c r="A22" s="8"/>
      <c r="B22" s="6"/>
      <c r="C22" s="6"/>
      <c r="D22" s="6"/>
      <c r="E22" s="32"/>
      <c r="F22" s="6"/>
      <c r="G22" s="32"/>
      <c r="H22" s="6"/>
      <c r="I22" s="6"/>
      <c r="J22" s="6"/>
      <c r="K22" s="6"/>
      <c r="L22" s="6"/>
      <c r="M22" s="6"/>
      <c r="N22" s="6"/>
      <c r="O22" s="6"/>
    </row>
    <row r="23" spans="1:15" s="89" customFormat="1">
      <c r="A23" s="8"/>
      <c r="B23" s="6"/>
      <c r="C23" s="6"/>
      <c r="D23" s="6"/>
      <c r="E23" s="32"/>
      <c r="F23" s="6"/>
      <c r="G23" s="32"/>
      <c r="H23" s="6"/>
      <c r="I23" s="6"/>
      <c r="J23" s="6"/>
      <c r="K23" s="6"/>
      <c r="L23" s="6"/>
      <c r="M23" s="6"/>
      <c r="N23" s="6"/>
      <c r="O23" s="6"/>
    </row>
    <row r="24" spans="1:15" s="89" customFormat="1">
      <c r="A24" s="8"/>
      <c r="B24" s="6"/>
      <c r="C24" s="6"/>
      <c r="D24" s="6"/>
      <c r="E24" s="32"/>
      <c r="F24" s="6"/>
      <c r="G24" s="32"/>
      <c r="H24" s="6"/>
      <c r="I24" s="6"/>
      <c r="J24" s="6"/>
      <c r="K24" s="6"/>
      <c r="L24" s="6"/>
      <c r="M24" s="6"/>
      <c r="N24" s="6"/>
      <c r="O24" s="6"/>
    </row>
    <row r="25" spans="1:15" s="89" customFormat="1">
      <c r="A25" s="8"/>
      <c r="B25" s="6"/>
      <c r="C25" s="6"/>
      <c r="D25" s="6"/>
      <c r="E25" s="32"/>
      <c r="F25" s="6"/>
      <c r="G25" s="32"/>
      <c r="H25" s="6"/>
      <c r="I25" s="6"/>
      <c r="J25" s="6"/>
      <c r="K25" s="6"/>
      <c r="L25" s="6"/>
      <c r="M25" s="6"/>
      <c r="N25" s="6"/>
      <c r="O25" s="6"/>
    </row>
    <row r="26" spans="1:15" s="89" customFormat="1">
      <c r="A26" s="8"/>
      <c r="B26" s="6"/>
      <c r="C26" s="6"/>
      <c r="D26" s="6"/>
      <c r="E26" s="32"/>
      <c r="F26" s="6"/>
      <c r="G26" s="32"/>
      <c r="H26" s="6"/>
      <c r="I26" s="6"/>
      <c r="J26" s="6"/>
      <c r="K26" s="6"/>
      <c r="L26" s="6"/>
      <c r="M26" s="6"/>
      <c r="N26" s="6"/>
      <c r="O26" s="6"/>
    </row>
    <row r="27" spans="1:15" s="89" customFormat="1">
      <c r="A27" s="8"/>
      <c r="B27" s="6"/>
      <c r="C27" s="6"/>
      <c r="D27" s="6"/>
      <c r="E27" s="32"/>
      <c r="F27" s="6"/>
      <c r="G27" s="32"/>
      <c r="H27" s="6"/>
      <c r="I27" s="6"/>
      <c r="J27" s="6"/>
      <c r="K27" s="6"/>
      <c r="L27" s="6"/>
      <c r="M27" s="6"/>
      <c r="N27" s="6"/>
      <c r="O27" s="6"/>
    </row>
    <row r="28" spans="1:15" s="89" customFormat="1">
      <c r="A28" s="8"/>
      <c r="B28" s="6"/>
      <c r="C28" s="6"/>
      <c r="D28" s="6"/>
      <c r="E28" s="32"/>
      <c r="F28" s="6"/>
      <c r="G28" s="32"/>
      <c r="H28" s="6"/>
      <c r="I28" s="6"/>
      <c r="J28" s="6"/>
      <c r="K28" s="6"/>
      <c r="L28" s="6"/>
      <c r="M28" s="6"/>
      <c r="N28" s="6"/>
      <c r="O28" s="6"/>
    </row>
    <row r="29" spans="1:15" s="89" customFormat="1">
      <c r="A29" s="8"/>
      <c r="B29" s="6"/>
      <c r="C29" s="6"/>
      <c r="D29" s="6"/>
      <c r="E29" s="32"/>
      <c r="F29" s="6"/>
      <c r="G29" s="32"/>
      <c r="H29" s="6"/>
      <c r="I29" s="6"/>
      <c r="J29" s="6"/>
      <c r="K29" s="6"/>
      <c r="L29" s="6"/>
      <c r="M29" s="6"/>
      <c r="N29" s="6"/>
      <c r="O29" s="6"/>
    </row>
    <row r="30" spans="1:15" s="89" customFormat="1">
      <c r="A30" s="8"/>
      <c r="B30" s="6"/>
      <c r="C30" s="6"/>
      <c r="D30" s="6"/>
      <c r="E30" s="32"/>
      <c r="F30" s="6"/>
      <c r="G30" s="32"/>
      <c r="H30" s="6"/>
      <c r="I30" s="6"/>
      <c r="J30" s="6"/>
      <c r="K30" s="6"/>
      <c r="L30" s="6"/>
      <c r="M30" s="6"/>
      <c r="N30" s="6"/>
      <c r="O30" s="6"/>
    </row>
    <row r="31" spans="1:15" s="89" customFormat="1">
      <c r="A31" s="8"/>
      <c r="B31" s="6"/>
      <c r="C31" s="6"/>
      <c r="D31" s="6"/>
      <c r="E31" s="32"/>
      <c r="F31" s="6"/>
      <c r="G31" s="32"/>
      <c r="H31" s="6"/>
      <c r="I31" s="6"/>
      <c r="J31" s="6"/>
      <c r="K31" s="6"/>
      <c r="L31" s="6"/>
      <c r="M31" s="6"/>
      <c r="N31" s="6"/>
      <c r="O31" s="6"/>
    </row>
    <row r="32" spans="1:15" s="89" customFormat="1">
      <c r="A32" s="8"/>
      <c r="B32" s="6"/>
      <c r="C32" s="6"/>
      <c r="D32" s="6"/>
      <c r="E32" s="32"/>
      <c r="F32" s="6"/>
      <c r="G32" s="32"/>
      <c r="H32" s="6"/>
      <c r="I32" s="6"/>
      <c r="J32" s="6"/>
      <c r="K32" s="6"/>
      <c r="L32" s="6"/>
      <c r="M32" s="6"/>
      <c r="N32" s="6"/>
      <c r="O32" s="6"/>
    </row>
    <row r="33" spans="1:15" s="89" customFormat="1">
      <c r="A33" s="8"/>
      <c r="B33" s="6"/>
      <c r="C33" s="6"/>
      <c r="D33" s="6"/>
      <c r="E33" s="32"/>
      <c r="F33" s="6"/>
      <c r="G33" s="32"/>
      <c r="H33" s="6"/>
      <c r="I33" s="6"/>
      <c r="J33" s="6"/>
      <c r="K33" s="6"/>
      <c r="L33" s="6"/>
      <c r="M33" s="6"/>
      <c r="N33" s="6"/>
      <c r="O33" s="6"/>
    </row>
    <row r="34" spans="1:15" s="89" customFormat="1">
      <c r="A34" s="8"/>
      <c r="B34" s="6"/>
      <c r="C34" s="6"/>
      <c r="D34" s="6"/>
      <c r="E34" s="32"/>
      <c r="F34" s="6"/>
      <c r="G34" s="32"/>
      <c r="H34" s="6"/>
      <c r="I34" s="6"/>
      <c r="J34" s="6"/>
      <c r="K34" s="6"/>
      <c r="L34" s="6"/>
      <c r="M34" s="6"/>
      <c r="N34" s="6"/>
      <c r="O34" s="6"/>
    </row>
    <row r="35" spans="1:15" s="89" customFormat="1">
      <c r="A35" s="8"/>
      <c r="B35" s="6"/>
      <c r="C35" s="6"/>
      <c r="D35" s="6"/>
      <c r="E35" s="32"/>
      <c r="F35" s="6"/>
      <c r="G35" s="32"/>
      <c r="H35" s="6"/>
      <c r="I35" s="6"/>
      <c r="J35" s="6"/>
      <c r="K35" s="6"/>
      <c r="L35" s="6"/>
      <c r="M35" s="6"/>
      <c r="N35" s="6"/>
      <c r="O35" s="6"/>
    </row>
    <row r="36" spans="1:15" s="89" customFormat="1">
      <c r="A36" s="8"/>
      <c r="B36" s="6"/>
      <c r="C36" s="6"/>
      <c r="D36" s="6"/>
      <c r="E36" s="32"/>
      <c r="F36" s="6"/>
      <c r="G36" s="32"/>
      <c r="H36" s="6"/>
      <c r="I36" s="6"/>
      <c r="J36" s="6"/>
      <c r="K36" s="6"/>
      <c r="L36" s="6"/>
      <c r="M36" s="6"/>
      <c r="N36" s="6"/>
      <c r="O36" s="6"/>
    </row>
    <row r="37" spans="1:15" s="89" customFormat="1">
      <c r="A37" s="8"/>
      <c r="B37" s="6"/>
      <c r="C37" s="6"/>
      <c r="D37" s="6"/>
      <c r="E37" s="32"/>
      <c r="F37" s="6"/>
      <c r="G37" s="32"/>
      <c r="H37" s="6"/>
      <c r="I37" s="6"/>
      <c r="J37" s="6"/>
      <c r="K37" s="6"/>
      <c r="L37" s="6"/>
      <c r="M37" s="6"/>
      <c r="N37" s="6"/>
      <c r="O37" s="6"/>
    </row>
    <row r="38" spans="1:15" s="89" customFormat="1">
      <c r="A38" s="8"/>
      <c r="B38" s="6"/>
      <c r="C38" s="6"/>
      <c r="D38" s="6"/>
      <c r="E38" s="32"/>
      <c r="F38" s="6"/>
      <c r="G38" s="32"/>
      <c r="H38" s="6"/>
      <c r="I38" s="6"/>
      <c r="J38" s="6"/>
      <c r="K38" s="6"/>
      <c r="L38" s="6"/>
      <c r="M38" s="6"/>
      <c r="N38" s="6"/>
      <c r="O38" s="6"/>
    </row>
    <row r="39" spans="1:15" s="89" customFormat="1">
      <c r="A39" s="8"/>
      <c r="B39" s="6"/>
      <c r="C39" s="6"/>
      <c r="D39" s="6"/>
      <c r="E39" s="32"/>
      <c r="F39" s="6"/>
      <c r="G39" s="32"/>
      <c r="H39" s="6"/>
      <c r="I39" s="6"/>
      <c r="J39" s="6"/>
      <c r="K39" s="6"/>
      <c r="L39" s="6"/>
      <c r="M39" s="6"/>
      <c r="N39" s="6"/>
      <c r="O39" s="6"/>
    </row>
    <row r="40" spans="1:15" s="89" customFormat="1">
      <c r="A40" s="8"/>
      <c r="B40" s="6"/>
      <c r="C40" s="6"/>
      <c r="D40" s="6"/>
      <c r="E40" s="32"/>
      <c r="F40" s="6"/>
      <c r="G40" s="32"/>
      <c r="H40" s="6"/>
      <c r="I40" s="6"/>
      <c r="J40" s="6"/>
      <c r="K40" s="6"/>
      <c r="L40" s="6"/>
      <c r="M40" s="6"/>
      <c r="N40" s="6"/>
      <c r="O40" s="6"/>
    </row>
    <row r="41" spans="1:15" s="90" customFormat="1">
      <c r="A41" s="9"/>
      <c r="B41" s="7"/>
      <c r="C41" s="7"/>
      <c r="D41" s="7"/>
      <c r="E41" s="33"/>
      <c r="F41" s="7"/>
      <c r="G41" s="33"/>
      <c r="H41" s="7"/>
      <c r="I41" s="7"/>
      <c r="J41" s="7"/>
      <c r="K41" s="7"/>
      <c r="L41" s="7"/>
      <c r="M41" s="7"/>
      <c r="N41" s="7"/>
      <c r="O41" s="7"/>
    </row>
    <row r="42" spans="1:15" s="90" customFormat="1">
      <c r="A42" s="9"/>
      <c r="B42" s="7"/>
      <c r="C42" s="7"/>
      <c r="D42" s="7"/>
      <c r="E42" s="33"/>
      <c r="F42" s="7"/>
      <c r="G42" s="33"/>
      <c r="H42" s="7"/>
      <c r="I42" s="7"/>
      <c r="J42" s="7"/>
      <c r="K42" s="7"/>
      <c r="L42" s="7"/>
      <c r="M42" s="7"/>
      <c r="N42" s="7"/>
      <c r="O42" s="7"/>
    </row>
    <row r="43" spans="1:15" s="90" customFormat="1">
      <c r="A43" s="9"/>
      <c r="B43" s="7"/>
      <c r="C43" s="7"/>
      <c r="D43" s="7"/>
      <c r="E43" s="33"/>
      <c r="F43" s="7"/>
      <c r="G43" s="33"/>
      <c r="H43" s="7"/>
      <c r="I43" s="7"/>
      <c r="J43" s="7"/>
      <c r="K43" s="7"/>
      <c r="L43" s="7"/>
      <c r="M43" s="7"/>
      <c r="N43" s="7"/>
      <c r="O43" s="7"/>
    </row>
    <row r="44" spans="1:15" s="90" customFormat="1">
      <c r="A44" s="9"/>
      <c r="B44" s="7"/>
      <c r="C44" s="7"/>
      <c r="D44" s="7"/>
      <c r="E44" s="33"/>
      <c r="F44" s="7"/>
      <c r="G44" s="33"/>
      <c r="H44" s="7"/>
      <c r="I44" s="7"/>
      <c r="J44" s="7"/>
      <c r="K44" s="7"/>
      <c r="L44" s="7"/>
      <c r="M44" s="7"/>
      <c r="N44" s="7"/>
      <c r="O44" s="7"/>
    </row>
    <row r="45" spans="1:15" s="90" customFormat="1">
      <c r="A45" s="9"/>
      <c r="B45" s="7"/>
      <c r="C45" s="7"/>
      <c r="D45" s="7"/>
      <c r="E45" s="33"/>
      <c r="F45" s="7"/>
      <c r="G45" s="33"/>
      <c r="H45" s="7"/>
      <c r="I45" s="7"/>
      <c r="J45" s="7"/>
      <c r="K45" s="7"/>
      <c r="L45" s="7"/>
      <c r="M45" s="7"/>
      <c r="N45" s="7"/>
      <c r="O45" s="7"/>
    </row>
    <row r="46" spans="1:15" s="90" customFormat="1">
      <c r="A46" s="9"/>
      <c r="B46" s="7"/>
      <c r="C46" s="7"/>
      <c r="D46" s="7"/>
      <c r="E46" s="33"/>
      <c r="F46" s="7"/>
      <c r="G46" s="33"/>
      <c r="H46" s="7"/>
      <c r="I46" s="7"/>
      <c r="J46" s="7"/>
      <c r="K46" s="7"/>
      <c r="L46" s="7"/>
      <c r="M46" s="7"/>
      <c r="N46" s="7"/>
      <c r="O46" s="7"/>
    </row>
    <row r="47" spans="1:15">
      <c r="A47" s="2"/>
    </row>
    <row r="48" spans="1:15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</sheetData>
  <sheetProtection password="CA6A" sheet="1"/>
  <mergeCells count="12">
    <mergeCell ref="B4:B6"/>
    <mergeCell ref="C4:C6"/>
    <mergeCell ref="A18:B18"/>
    <mergeCell ref="J5:K5"/>
    <mergeCell ref="F4:K4"/>
    <mergeCell ref="A2:O2"/>
    <mergeCell ref="L4:M5"/>
    <mergeCell ref="N4:O5"/>
    <mergeCell ref="H5:I5"/>
    <mergeCell ref="A4:A6"/>
    <mergeCell ref="F5:G5"/>
    <mergeCell ref="D4:E5"/>
  </mergeCells>
  <phoneticPr fontId="2" type="noConversion"/>
  <printOptions horizontalCentered="1"/>
  <pageMargins left="0.38" right="0.28000000000000003" top="0.37" bottom="0.23" header="0.28999999999999998" footer="0.16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55"/>
  <sheetViews>
    <sheetView zoomScaleSheetLayoutView="85" workbookViewId="0">
      <pane xSplit="2" ySplit="5" topLeftCell="C9" activePane="bottomRight" state="frozen"/>
      <selection activeCell="C27" sqref="C27"/>
      <selection pane="topRight" activeCell="C27" sqref="C27"/>
      <selection pane="bottomLeft" activeCell="C27" sqref="C27"/>
      <selection pane="bottomRight" activeCell="K12" sqref="K12"/>
    </sheetView>
  </sheetViews>
  <sheetFormatPr defaultRowHeight="13.5"/>
  <cols>
    <col min="1" max="1" width="7.6640625" style="1" customWidth="1"/>
    <col min="2" max="4" width="7.6640625" style="4" customWidth="1"/>
    <col min="5" max="5" width="7.6640625" style="31" customWidth="1"/>
    <col min="6" max="6" width="7.6640625" style="4" customWidth="1"/>
    <col min="7" max="7" width="7.6640625" style="31" customWidth="1"/>
    <col min="8" max="17" width="7.6640625" style="4" customWidth="1"/>
    <col min="18" max="16384" width="8.88671875" style="86"/>
  </cols>
  <sheetData>
    <row r="1" spans="1:17" ht="39.75" customHeight="1">
      <c r="A1" s="146" t="s">
        <v>55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16.5">
      <c r="A2" s="42"/>
      <c r="Q2" s="24" t="s">
        <v>69</v>
      </c>
    </row>
    <row r="3" spans="1:17" s="80" customFormat="1" ht="19.149999999999999" customHeight="1">
      <c r="A3" s="126" t="s">
        <v>90</v>
      </c>
      <c r="B3" s="135" t="s">
        <v>113</v>
      </c>
      <c r="C3" s="138" t="s">
        <v>114</v>
      </c>
      <c r="D3" s="131" t="s">
        <v>115</v>
      </c>
      <c r="E3" s="132"/>
      <c r="F3" s="143" t="s">
        <v>116</v>
      </c>
      <c r="G3" s="144"/>
      <c r="H3" s="144"/>
      <c r="I3" s="144"/>
      <c r="J3" s="144"/>
      <c r="K3" s="144"/>
      <c r="L3" s="144"/>
      <c r="M3" s="145"/>
      <c r="N3" s="131" t="s">
        <v>117</v>
      </c>
      <c r="O3" s="132"/>
      <c r="P3" s="131" t="s">
        <v>118</v>
      </c>
      <c r="Q3" s="147"/>
    </row>
    <row r="4" spans="1:17" s="80" customFormat="1" ht="19.149999999999999" customHeight="1">
      <c r="A4" s="127"/>
      <c r="B4" s="136"/>
      <c r="C4" s="139"/>
      <c r="D4" s="133"/>
      <c r="E4" s="134"/>
      <c r="F4" s="129" t="s">
        <v>127</v>
      </c>
      <c r="G4" s="130"/>
      <c r="H4" s="129" t="s">
        <v>128</v>
      </c>
      <c r="I4" s="130"/>
      <c r="J4" s="129" t="s">
        <v>129</v>
      </c>
      <c r="K4" s="130"/>
      <c r="L4" s="129" t="s">
        <v>125</v>
      </c>
      <c r="M4" s="130"/>
      <c r="N4" s="133"/>
      <c r="O4" s="134"/>
      <c r="P4" s="133"/>
      <c r="Q4" s="148"/>
    </row>
    <row r="5" spans="1:17" s="80" customFormat="1" ht="19.149999999999999" customHeight="1">
      <c r="A5" s="128"/>
      <c r="B5" s="137"/>
      <c r="C5" s="140"/>
      <c r="D5" s="73"/>
      <c r="E5" s="74" t="s">
        <v>126</v>
      </c>
      <c r="F5" s="40" t="s">
        <v>130</v>
      </c>
      <c r="G5" s="74" t="s">
        <v>126</v>
      </c>
      <c r="H5" s="40" t="s">
        <v>131</v>
      </c>
      <c r="I5" s="75" t="s">
        <v>126</v>
      </c>
      <c r="J5" s="40" t="s">
        <v>132</v>
      </c>
      <c r="K5" s="75" t="s">
        <v>126</v>
      </c>
      <c r="L5" s="73"/>
      <c r="M5" s="75" t="s">
        <v>126</v>
      </c>
      <c r="N5" s="73"/>
      <c r="O5" s="75" t="s">
        <v>126</v>
      </c>
      <c r="P5" s="73"/>
      <c r="Q5" s="76" t="s">
        <v>126</v>
      </c>
    </row>
    <row r="6" spans="1:17" s="80" customFormat="1" ht="46.5" customHeight="1">
      <c r="A6" s="58" t="s">
        <v>91</v>
      </c>
      <c r="B6" s="59">
        <f>SUM(B7,B9)</f>
        <v>8</v>
      </c>
      <c r="C6" s="30">
        <f>SUM(C7:C9)</f>
        <v>16673</v>
      </c>
      <c r="D6" s="30">
        <f>SUM(D7:D9)</f>
        <v>10851</v>
      </c>
      <c r="E6" s="60">
        <f t="shared" ref="E6:E13" si="0">D6/C6*100</f>
        <v>65.08126911773526</v>
      </c>
      <c r="F6" s="30">
        <f>SUM(F7:F9)</f>
        <v>3669</v>
      </c>
      <c r="G6" s="60">
        <f>F6/L6*100</f>
        <v>34.833380803189975</v>
      </c>
      <c r="H6" s="30">
        <f>SUM(H7:H9)</f>
        <v>3917</v>
      </c>
      <c r="I6" s="60">
        <f t="shared" ref="I6:I14" si="1">H6/$L6*100</f>
        <v>37.187885692585212</v>
      </c>
      <c r="J6" s="30">
        <f>SUM(J7:J9)</f>
        <v>2947</v>
      </c>
      <c r="K6" s="60">
        <f t="shared" ref="K6:K14" si="2">J6/$L6*100</f>
        <v>27.978733504224817</v>
      </c>
      <c r="L6" s="30">
        <f>SUM(L7:L9)</f>
        <v>10533</v>
      </c>
      <c r="M6" s="60">
        <f t="shared" ref="M6:M14" si="3">L6/$D6*100</f>
        <v>97.069394525850157</v>
      </c>
      <c r="N6" s="30">
        <f>SUM(N7:N9)</f>
        <v>318</v>
      </c>
      <c r="O6" s="60">
        <f t="shared" ref="O6:O14" si="4">N6/$D6*100</f>
        <v>2.9306054741498477</v>
      </c>
      <c r="P6" s="30">
        <f>SUM(P7:P9)</f>
        <v>5822</v>
      </c>
      <c r="Q6" s="61">
        <f t="shared" ref="Q6:Q11" si="5">P6/$C6*100</f>
        <v>34.91873088226474</v>
      </c>
    </row>
    <row r="7" spans="1:17" s="80" customFormat="1" ht="46.5" customHeight="1">
      <c r="A7" s="63" t="s">
        <v>92</v>
      </c>
      <c r="B7" s="66"/>
      <c r="C7" s="64">
        <v>2456</v>
      </c>
      <c r="D7" s="64">
        <v>2455</v>
      </c>
      <c r="E7" s="50">
        <f t="shared" si="0"/>
        <v>99.95928338762215</v>
      </c>
      <c r="F7" s="64">
        <v>850</v>
      </c>
      <c r="G7" s="50">
        <f>F7/L7*100</f>
        <v>35.684298908480265</v>
      </c>
      <c r="H7" s="64">
        <v>868</v>
      </c>
      <c r="I7" s="50">
        <f t="shared" si="1"/>
        <v>36.439966414777494</v>
      </c>
      <c r="J7" s="64">
        <v>664</v>
      </c>
      <c r="K7" s="50">
        <f t="shared" si="2"/>
        <v>27.87573467674223</v>
      </c>
      <c r="L7" s="64">
        <f>F7+H7+J7</f>
        <v>2382</v>
      </c>
      <c r="M7" s="50">
        <f t="shared" si="3"/>
        <v>97.026476578411405</v>
      </c>
      <c r="N7" s="64">
        <v>73</v>
      </c>
      <c r="O7" s="50">
        <f t="shared" si="4"/>
        <v>2.9735234215885948</v>
      </c>
      <c r="P7" s="65">
        <v>1</v>
      </c>
      <c r="Q7" s="51">
        <f t="shared" si="5"/>
        <v>4.0716612377850167E-2</v>
      </c>
    </row>
    <row r="8" spans="1:17" s="80" customFormat="1" ht="46.5" customHeight="1">
      <c r="A8" s="63" t="s">
        <v>93</v>
      </c>
      <c r="B8" s="66"/>
      <c r="C8" s="64">
        <v>247</v>
      </c>
      <c r="D8" s="64">
        <v>239</v>
      </c>
      <c r="E8" s="50">
        <f>D8/C8*100</f>
        <v>96.761133603238875</v>
      </c>
      <c r="F8" s="64">
        <v>78</v>
      </c>
      <c r="G8" s="50">
        <f>F8/$L8*100</f>
        <v>40.625</v>
      </c>
      <c r="H8" s="64">
        <v>95</v>
      </c>
      <c r="I8" s="50">
        <f t="shared" si="1"/>
        <v>49.479166666666671</v>
      </c>
      <c r="J8" s="64">
        <v>19</v>
      </c>
      <c r="K8" s="50">
        <f t="shared" si="2"/>
        <v>9.8958333333333321</v>
      </c>
      <c r="L8" s="64">
        <f>F8+H8+J8</f>
        <v>192</v>
      </c>
      <c r="M8" s="50">
        <f>L8/$D8*100</f>
        <v>80.3347280334728</v>
      </c>
      <c r="N8" s="64">
        <f>D8-L8</f>
        <v>47</v>
      </c>
      <c r="O8" s="50">
        <f>N8/$D8*100</f>
        <v>19.665271966527197</v>
      </c>
      <c r="P8" s="65">
        <f>C8-D8</f>
        <v>8</v>
      </c>
      <c r="Q8" s="51">
        <f>P8/$C8*100</f>
        <v>3.2388663967611335</v>
      </c>
    </row>
    <row r="9" spans="1:17" s="80" customFormat="1" ht="46.5" customHeight="1">
      <c r="A9" s="58" t="s">
        <v>94</v>
      </c>
      <c r="B9" s="59">
        <f>SUM(B10:B13)</f>
        <v>8</v>
      </c>
      <c r="C9" s="30">
        <f>SUM(C10:C13)</f>
        <v>13970</v>
      </c>
      <c r="D9" s="30">
        <f>SUM(D10:D14)</f>
        <v>8157</v>
      </c>
      <c r="E9" s="60">
        <f t="shared" si="0"/>
        <v>58.389405869720832</v>
      </c>
      <c r="F9" s="30">
        <f>SUM(F10:F14)</f>
        <v>2741</v>
      </c>
      <c r="G9" s="60">
        <f>F9/$L9*100</f>
        <v>34.438999874356071</v>
      </c>
      <c r="H9" s="30">
        <f>SUM(H10:H14)</f>
        <v>2954</v>
      </c>
      <c r="I9" s="60">
        <f t="shared" si="1"/>
        <v>37.115215479331574</v>
      </c>
      <c r="J9" s="30">
        <f>SUM(J10:J14)</f>
        <v>2264</v>
      </c>
      <c r="K9" s="60">
        <f t="shared" si="2"/>
        <v>28.445784646312351</v>
      </c>
      <c r="L9" s="30">
        <f>SUM(L10:L14)</f>
        <v>7959</v>
      </c>
      <c r="M9" s="60">
        <f>L9/$D9*100</f>
        <v>97.572636998896655</v>
      </c>
      <c r="N9" s="30">
        <f>SUM(N10:N14)</f>
        <v>198</v>
      </c>
      <c r="O9" s="60">
        <f t="shared" si="4"/>
        <v>2.4273630011033465</v>
      </c>
      <c r="P9" s="30">
        <f>SUM(P10:P14)</f>
        <v>5813</v>
      </c>
      <c r="Q9" s="61">
        <f t="shared" si="5"/>
        <v>41.610594130279175</v>
      </c>
    </row>
    <row r="10" spans="1:17" s="80" customFormat="1" ht="46.5" customHeight="1">
      <c r="A10" s="63" t="s">
        <v>104</v>
      </c>
      <c r="B10" s="68">
        <v>2</v>
      </c>
      <c r="C10" s="49">
        <v>3506</v>
      </c>
      <c r="D10" s="28">
        <v>2111</v>
      </c>
      <c r="E10" s="50">
        <f t="shared" si="0"/>
        <v>60.21106674272675</v>
      </c>
      <c r="F10" s="28">
        <v>1395</v>
      </c>
      <c r="G10" s="50">
        <f>F10/L10*100</f>
        <v>68.215158924205383</v>
      </c>
      <c r="H10" s="28">
        <v>307</v>
      </c>
      <c r="I10" s="50">
        <f t="shared" si="1"/>
        <v>15.012224938875304</v>
      </c>
      <c r="J10" s="28">
        <v>343</v>
      </c>
      <c r="K10" s="50">
        <f t="shared" si="2"/>
        <v>16.772616136919318</v>
      </c>
      <c r="L10" s="28">
        <f>F10+H10+J10</f>
        <v>2045</v>
      </c>
      <c r="M10" s="50">
        <f t="shared" si="3"/>
        <v>96.873519658929425</v>
      </c>
      <c r="N10" s="28">
        <f>D10-L10</f>
        <v>66</v>
      </c>
      <c r="O10" s="50">
        <f t="shared" si="4"/>
        <v>3.1264803410705824</v>
      </c>
      <c r="P10" s="28">
        <f>C10-D10</f>
        <v>1395</v>
      </c>
      <c r="Q10" s="51">
        <f t="shared" si="5"/>
        <v>39.788933257273243</v>
      </c>
    </row>
    <row r="11" spans="1:17" s="80" customFormat="1" ht="46.5" customHeight="1">
      <c r="A11" s="63" t="s">
        <v>108</v>
      </c>
      <c r="B11" s="68">
        <v>2</v>
      </c>
      <c r="C11" s="49">
        <v>3991</v>
      </c>
      <c r="D11" s="28">
        <v>2345</v>
      </c>
      <c r="E11" s="50">
        <f t="shared" si="0"/>
        <v>58.757203708343773</v>
      </c>
      <c r="F11" s="28">
        <v>396</v>
      </c>
      <c r="G11" s="50">
        <f>F11/L11*100</f>
        <v>17.120622568093385</v>
      </c>
      <c r="H11" s="28">
        <v>1537</v>
      </c>
      <c r="I11" s="50">
        <f t="shared" si="1"/>
        <v>66.450497189796792</v>
      </c>
      <c r="J11" s="28">
        <v>380</v>
      </c>
      <c r="K11" s="50">
        <f t="shared" si="2"/>
        <v>16.428880242109813</v>
      </c>
      <c r="L11" s="28">
        <f>F11+H11+J11</f>
        <v>2313</v>
      </c>
      <c r="M11" s="50">
        <f t="shared" si="3"/>
        <v>98.635394456289987</v>
      </c>
      <c r="N11" s="28">
        <f>D11-L11</f>
        <v>32</v>
      </c>
      <c r="O11" s="50">
        <f t="shared" si="4"/>
        <v>1.3646055437100213</v>
      </c>
      <c r="P11" s="28">
        <f>C11-D11</f>
        <v>1646</v>
      </c>
      <c r="Q11" s="51">
        <f t="shared" si="5"/>
        <v>41.242796291656227</v>
      </c>
    </row>
    <row r="12" spans="1:17" s="80" customFormat="1" ht="46.5" customHeight="1">
      <c r="A12" s="63" t="s">
        <v>109</v>
      </c>
      <c r="B12" s="68">
        <v>2</v>
      </c>
      <c r="C12" s="49">
        <v>3631</v>
      </c>
      <c r="D12" s="28">
        <v>2104</v>
      </c>
      <c r="E12" s="50">
        <f t="shared" si="0"/>
        <v>57.945469567612228</v>
      </c>
      <c r="F12" s="28">
        <v>479</v>
      </c>
      <c r="G12" s="50">
        <f>F12/L12*100</f>
        <v>23.388671875</v>
      </c>
      <c r="H12" s="28">
        <v>550</v>
      </c>
      <c r="I12" s="50">
        <f t="shared" si="1"/>
        <v>26.85546875</v>
      </c>
      <c r="J12" s="28">
        <v>1019</v>
      </c>
      <c r="K12" s="50">
        <f t="shared" si="2"/>
        <v>49.755859375</v>
      </c>
      <c r="L12" s="28">
        <f>F12+H12+J12</f>
        <v>2048</v>
      </c>
      <c r="M12" s="50">
        <f t="shared" si="3"/>
        <v>97.338403041825089</v>
      </c>
      <c r="N12" s="28">
        <f>D12-L12</f>
        <v>56</v>
      </c>
      <c r="O12" s="50">
        <f t="shared" si="4"/>
        <v>2.6615969581749046</v>
      </c>
      <c r="P12" s="28">
        <f>C12-D12</f>
        <v>1527</v>
      </c>
      <c r="Q12" s="51">
        <f>P12/$C12*100</f>
        <v>42.054530432387772</v>
      </c>
    </row>
    <row r="13" spans="1:17" s="80" customFormat="1" ht="46.5" customHeight="1">
      <c r="A13" s="93" t="s">
        <v>110</v>
      </c>
      <c r="B13" s="94">
        <v>2</v>
      </c>
      <c r="C13" s="95">
        <v>2842</v>
      </c>
      <c r="D13" s="96">
        <v>1594</v>
      </c>
      <c r="E13" s="97">
        <f t="shared" si="0"/>
        <v>56.087262491203383</v>
      </c>
      <c r="F13" s="96">
        <v>469</v>
      </c>
      <c r="G13" s="97">
        <f>F13/L13*100</f>
        <v>30.258064516129028</v>
      </c>
      <c r="H13" s="96">
        <v>560</v>
      </c>
      <c r="I13" s="97">
        <f t="shared" si="1"/>
        <v>36.129032258064512</v>
      </c>
      <c r="J13" s="96">
        <v>521</v>
      </c>
      <c r="K13" s="97">
        <f t="shared" si="2"/>
        <v>33.612903225806448</v>
      </c>
      <c r="L13" s="96">
        <f>F13+H13+J13</f>
        <v>1550</v>
      </c>
      <c r="M13" s="97">
        <f t="shared" si="3"/>
        <v>97.239648682559604</v>
      </c>
      <c r="N13" s="96">
        <f>D13-L13</f>
        <v>44</v>
      </c>
      <c r="O13" s="97">
        <f t="shared" si="4"/>
        <v>2.7603513174404015</v>
      </c>
      <c r="P13" s="96">
        <f>C13-D13</f>
        <v>1248</v>
      </c>
      <c r="Q13" s="98">
        <f>P13/$C13*100</f>
        <v>43.912737508796624</v>
      </c>
    </row>
    <row r="14" spans="1:17" s="80" customFormat="1" ht="46.5" customHeight="1">
      <c r="A14" s="149" t="s">
        <v>111</v>
      </c>
      <c r="B14" s="150"/>
      <c r="C14" s="99"/>
      <c r="D14" s="100">
        <v>3</v>
      </c>
      <c r="E14" s="101">
        <f>D14/D6*100</f>
        <v>2.764722145424385E-2</v>
      </c>
      <c r="F14" s="100">
        <v>2</v>
      </c>
      <c r="G14" s="101">
        <f>F14/L14*100</f>
        <v>66.666666666666657</v>
      </c>
      <c r="H14" s="100"/>
      <c r="I14" s="101">
        <f t="shared" si="1"/>
        <v>0</v>
      </c>
      <c r="J14" s="100">
        <v>1</v>
      </c>
      <c r="K14" s="101">
        <f t="shared" si="2"/>
        <v>33.333333333333329</v>
      </c>
      <c r="L14" s="100">
        <f>F14+H14+J14</f>
        <v>3</v>
      </c>
      <c r="M14" s="101">
        <f t="shared" si="3"/>
        <v>100</v>
      </c>
      <c r="N14" s="100">
        <f>D14-L14</f>
        <v>0</v>
      </c>
      <c r="O14" s="101">
        <f t="shared" si="4"/>
        <v>0</v>
      </c>
      <c r="P14" s="100">
        <v>-3</v>
      </c>
      <c r="Q14" s="102"/>
    </row>
    <row r="15" spans="1:17" s="89" customFormat="1" ht="17.25" customHeight="1">
      <c r="A15" s="23"/>
      <c r="B15" s="6"/>
      <c r="C15" s="6"/>
      <c r="D15" s="6"/>
      <c r="E15" s="32"/>
      <c r="F15" s="6"/>
      <c r="G15" s="32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s="89" customFormat="1">
      <c r="A16" s="23"/>
      <c r="B16" s="6"/>
      <c r="C16" s="6"/>
      <c r="D16" s="6"/>
      <c r="E16" s="32"/>
      <c r="F16" s="6"/>
      <c r="G16" s="32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s="89" customFormat="1">
      <c r="A17" s="8"/>
      <c r="B17" s="6"/>
      <c r="C17" s="6"/>
      <c r="D17" s="6"/>
      <c r="E17" s="32"/>
      <c r="F17" s="6"/>
      <c r="G17" s="32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s="89" customFormat="1">
      <c r="A18" s="8"/>
      <c r="B18" s="6"/>
      <c r="C18" s="6"/>
      <c r="D18" s="6"/>
      <c r="E18" s="32"/>
      <c r="F18" s="6"/>
      <c r="G18" s="32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s="89" customFormat="1">
      <c r="A19" s="8"/>
      <c r="B19" s="6"/>
      <c r="C19" s="6"/>
      <c r="D19" s="6"/>
      <c r="E19" s="32"/>
      <c r="F19" s="6"/>
      <c r="G19" s="32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s="89" customFormat="1">
      <c r="A20" s="8"/>
      <c r="B20" s="6"/>
      <c r="C20" s="6"/>
      <c r="D20" s="6"/>
      <c r="E20" s="32"/>
      <c r="F20" s="6"/>
      <c r="G20" s="32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s="89" customFormat="1">
      <c r="A21" s="8"/>
      <c r="B21" s="6"/>
      <c r="C21" s="6"/>
      <c r="D21" s="6"/>
      <c r="E21" s="32"/>
      <c r="F21" s="6"/>
      <c r="G21" s="32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s="89" customFormat="1">
      <c r="A22" s="8"/>
      <c r="B22" s="6"/>
      <c r="C22" s="6"/>
      <c r="D22" s="6"/>
      <c r="E22" s="32"/>
      <c r="F22" s="6"/>
      <c r="G22" s="32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s="89" customFormat="1">
      <c r="A23" s="8"/>
      <c r="B23" s="6"/>
      <c r="C23" s="6"/>
      <c r="D23" s="6"/>
      <c r="E23" s="32"/>
      <c r="F23" s="6"/>
      <c r="G23" s="32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89" customFormat="1">
      <c r="A24" s="8"/>
      <c r="B24" s="6"/>
      <c r="C24" s="6"/>
      <c r="D24" s="6"/>
      <c r="E24" s="32"/>
      <c r="F24" s="6"/>
      <c r="G24" s="32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89" customFormat="1">
      <c r="A25" s="8"/>
      <c r="B25" s="6"/>
      <c r="C25" s="6"/>
      <c r="D25" s="6"/>
      <c r="E25" s="32"/>
      <c r="F25" s="6"/>
      <c r="G25" s="32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89" customFormat="1">
      <c r="A26" s="8"/>
      <c r="B26" s="6"/>
      <c r="C26" s="6"/>
      <c r="D26" s="6"/>
      <c r="E26" s="32"/>
      <c r="F26" s="6"/>
      <c r="G26" s="32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89" customFormat="1">
      <c r="A27" s="8"/>
      <c r="B27" s="6"/>
      <c r="C27" s="6"/>
      <c r="D27" s="6"/>
      <c r="E27" s="32"/>
      <c r="F27" s="6"/>
      <c r="G27" s="32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s="89" customFormat="1">
      <c r="A28" s="8"/>
      <c r="B28" s="6"/>
      <c r="C28" s="6"/>
      <c r="D28" s="6"/>
      <c r="E28" s="32"/>
      <c r="F28" s="6"/>
      <c r="G28" s="32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89" customFormat="1">
      <c r="A29" s="8"/>
      <c r="B29" s="6"/>
      <c r="C29" s="6"/>
      <c r="D29" s="6"/>
      <c r="E29" s="32"/>
      <c r="F29" s="6"/>
      <c r="G29" s="32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s="89" customFormat="1">
      <c r="A30" s="8"/>
      <c r="B30" s="6"/>
      <c r="C30" s="6"/>
      <c r="D30" s="6"/>
      <c r="E30" s="32"/>
      <c r="F30" s="6"/>
      <c r="G30" s="32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s="89" customFormat="1">
      <c r="A31" s="8"/>
      <c r="B31" s="6"/>
      <c r="C31" s="6"/>
      <c r="D31" s="6"/>
      <c r="E31" s="32"/>
      <c r="F31" s="6"/>
      <c r="G31" s="32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s="89" customFormat="1">
      <c r="A32" s="8"/>
      <c r="B32" s="6"/>
      <c r="C32" s="6"/>
      <c r="D32" s="6"/>
      <c r="E32" s="32"/>
      <c r="F32" s="6"/>
      <c r="G32" s="32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s="89" customFormat="1">
      <c r="A33" s="8"/>
      <c r="B33" s="6"/>
      <c r="C33" s="6"/>
      <c r="D33" s="6"/>
      <c r="E33" s="32"/>
      <c r="F33" s="6"/>
      <c r="G33" s="32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s="89" customFormat="1">
      <c r="A34" s="8"/>
      <c r="B34" s="6"/>
      <c r="C34" s="6"/>
      <c r="D34" s="6"/>
      <c r="E34" s="32"/>
      <c r="F34" s="6"/>
      <c r="G34" s="32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s="89" customFormat="1">
      <c r="A35" s="8"/>
      <c r="B35" s="6"/>
      <c r="C35" s="6"/>
      <c r="D35" s="6"/>
      <c r="E35" s="32"/>
      <c r="F35" s="6"/>
      <c r="G35" s="32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s="89" customFormat="1">
      <c r="A36" s="8"/>
      <c r="B36" s="6"/>
      <c r="C36" s="6"/>
      <c r="D36" s="6"/>
      <c r="E36" s="32"/>
      <c r="F36" s="6"/>
      <c r="G36" s="32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s="90" customFormat="1">
      <c r="A37" s="9"/>
      <c r="B37" s="7"/>
      <c r="C37" s="7"/>
      <c r="D37" s="7"/>
      <c r="E37" s="33"/>
      <c r="F37" s="7"/>
      <c r="G37" s="33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90" customFormat="1">
      <c r="A38" s="9"/>
      <c r="B38" s="7"/>
      <c r="C38" s="7"/>
      <c r="D38" s="7"/>
      <c r="E38" s="33"/>
      <c r="F38" s="7"/>
      <c r="G38" s="33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90" customFormat="1">
      <c r="A39" s="9"/>
      <c r="B39" s="7"/>
      <c r="C39" s="7"/>
      <c r="D39" s="7"/>
      <c r="E39" s="33"/>
      <c r="F39" s="7"/>
      <c r="G39" s="33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90" customFormat="1">
      <c r="A40" s="9"/>
      <c r="B40" s="7"/>
      <c r="C40" s="7"/>
      <c r="D40" s="7"/>
      <c r="E40" s="33"/>
      <c r="F40" s="7"/>
      <c r="G40" s="33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90" customFormat="1">
      <c r="A41" s="9"/>
      <c r="B41" s="7"/>
      <c r="C41" s="7"/>
      <c r="D41" s="7"/>
      <c r="E41" s="33"/>
      <c r="F41" s="7"/>
      <c r="G41" s="33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90" customFormat="1">
      <c r="A42" s="9"/>
      <c r="B42" s="7"/>
      <c r="C42" s="7"/>
      <c r="D42" s="7"/>
      <c r="E42" s="33"/>
      <c r="F42" s="7"/>
      <c r="G42" s="33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>
      <c r="A43" s="2"/>
    </row>
    <row r="44" spans="1:17">
      <c r="A44" s="2"/>
    </row>
    <row r="45" spans="1:17">
      <c r="A45" s="2"/>
    </row>
    <row r="46" spans="1:17">
      <c r="A46" s="2"/>
    </row>
    <row r="47" spans="1:17">
      <c r="A47" s="2"/>
    </row>
    <row r="48" spans="1:17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</sheetData>
  <sheetProtection password="CA6A" sheet="1"/>
  <mergeCells count="13">
    <mergeCell ref="D3:E4"/>
    <mergeCell ref="B3:B5"/>
    <mergeCell ref="C3:C5"/>
    <mergeCell ref="A14:B14"/>
    <mergeCell ref="L4:M4"/>
    <mergeCell ref="F3:M3"/>
    <mergeCell ref="A1:Q1"/>
    <mergeCell ref="N3:O4"/>
    <mergeCell ref="P3:Q4"/>
    <mergeCell ref="H4:I4"/>
    <mergeCell ref="J4:K4"/>
    <mergeCell ref="A3:A5"/>
    <mergeCell ref="F4:G4"/>
  </mergeCells>
  <phoneticPr fontId="2" type="noConversion"/>
  <printOptions horizontalCentered="1"/>
  <pageMargins left="0.43" right="0.28000000000000003" top="0.83" bottom="0.23" header="0.28999999999999998" footer="0.16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56"/>
  <sheetViews>
    <sheetView tabSelected="1" zoomScale="110" zoomScaleNormal="110" zoomScaleSheetLayoutView="100" workbookViewId="0">
      <pane xSplit="2" ySplit="5" topLeftCell="C9" activePane="bottomRight" state="frozen"/>
      <selection activeCell="C27" sqref="C27"/>
      <selection pane="topRight" activeCell="C27" sqref="C27"/>
      <selection pane="bottomLeft" activeCell="C27" sqref="C27"/>
      <selection pane="bottomRight" activeCell="E2" sqref="E2"/>
    </sheetView>
  </sheetViews>
  <sheetFormatPr defaultRowHeight="13.5"/>
  <cols>
    <col min="1" max="1" width="6" style="1" customWidth="1"/>
    <col min="2" max="4" width="6" style="4" customWidth="1"/>
    <col min="5" max="5" width="6" style="31" customWidth="1"/>
    <col min="6" max="6" width="6" style="4" customWidth="1"/>
    <col min="7" max="7" width="6" style="31" customWidth="1"/>
    <col min="8" max="21" width="6" style="4" customWidth="1"/>
    <col min="22" max="16384" width="8.88671875" style="1"/>
  </cols>
  <sheetData>
    <row r="1" spans="1:21" ht="27">
      <c r="A1" s="146" t="s">
        <v>54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ht="16.5">
      <c r="A2" s="42"/>
      <c r="U2" s="24" t="s">
        <v>69</v>
      </c>
    </row>
    <row r="3" spans="1:21" s="52" customFormat="1" ht="19.149999999999999" customHeight="1">
      <c r="A3" s="159" t="s">
        <v>41</v>
      </c>
      <c r="B3" s="162" t="s">
        <v>113</v>
      </c>
      <c r="C3" s="165" t="s">
        <v>1</v>
      </c>
      <c r="D3" s="151" t="s">
        <v>4</v>
      </c>
      <c r="E3" s="152"/>
      <c r="F3" s="168" t="s">
        <v>37</v>
      </c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70"/>
      <c r="R3" s="151" t="s">
        <v>38</v>
      </c>
      <c r="S3" s="152"/>
      <c r="T3" s="151" t="s">
        <v>6</v>
      </c>
      <c r="U3" s="157"/>
    </row>
    <row r="4" spans="1:21" s="52" customFormat="1" ht="19.149999999999999" customHeight="1">
      <c r="A4" s="160"/>
      <c r="B4" s="163"/>
      <c r="C4" s="166"/>
      <c r="D4" s="153"/>
      <c r="E4" s="154"/>
      <c r="F4" s="155" t="s">
        <v>72</v>
      </c>
      <c r="G4" s="156"/>
      <c r="H4" s="155" t="s">
        <v>73</v>
      </c>
      <c r="I4" s="156"/>
      <c r="J4" s="155" t="s">
        <v>78</v>
      </c>
      <c r="K4" s="156"/>
      <c r="L4" s="155" t="s">
        <v>71</v>
      </c>
      <c r="M4" s="156"/>
      <c r="N4" s="155" t="s">
        <v>79</v>
      </c>
      <c r="O4" s="156"/>
      <c r="P4" s="155" t="s">
        <v>5</v>
      </c>
      <c r="Q4" s="156"/>
      <c r="R4" s="153"/>
      <c r="S4" s="154"/>
      <c r="T4" s="153"/>
      <c r="U4" s="158"/>
    </row>
    <row r="5" spans="1:21" s="52" customFormat="1" ht="19.149999999999999" customHeight="1">
      <c r="A5" s="161"/>
      <c r="B5" s="164"/>
      <c r="C5" s="167"/>
      <c r="D5" s="57"/>
      <c r="E5" s="39" t="s">
        <v>3</v>
      </c>
      <c r="F5" s="77" t="s">
        <v>74</v>
      </c>
      <c r="G5" s="39" t="s">
        <v>3</v>
      </c>
      <c r="H5" s="77" t="s">
        <v>75</v>
      </c>
      <c r="I5" s="41" t="s">
        <v>3</v>
      </c>
      <c r="J5" s="77" t="s">
        <v>47</v>
      </c>
      <c r="K5" s="41" t="s">
        <v>3</v>
      </c>
      <c r="L5" s="77" t="s">
        <v>76</v>
      </c>
      <c r="M5" s="41" t="s">
        <v>3</v>
      </c>
      <c r="N5" s="77" t="s">
        <v>77</v>
      </c>
      <c r="O5" s="41" t="s">
        <v>3</v>
      </c>
      <c r="P5" s="57"/>
      <c r="Q5" s="41" t="s">
        <v>3</v>
      </c>
      <c r="R5" s="57"/>
      <c r="S5" s="41" t="s">
        <v>3</v>
      </c>
      <c r="T5" s="57"/>
      <c r="U5" s="43" t="s">
        <v>3</v>
      </c>
    </row>
    <row r="6" spans="1:21" s="62" customFormat="1" ht="41.25" customHeight="1">
      <c r="A6" s="58" t="s">
        <v>2</v>
      </c>
      <c r="B6" s="59">
        <f>SUM(B7,B9)</f>
        <v>13</v>
      </c>
      <c r="C6" s="30">
        <f>SUM(C7:C9)</f>
        <v>24750</v>
      </c>
      <c r="D6" s="30">
        <f>SUM(D7:D9)</f>
        <v>15354</v>
      </c>
      <c r="E6" s="60">
        <f t="shared" ref="E6:E14" si="0">D6/C6*100</f>
        <v>62.036363636363632</v>
      </c>
      <c r="F6" s="30">
        <f>SUM(F7:F9)</f>
        <v>3891</v>
      </c>
      <c r="G6" s="60">
        <f t="shared" ref="G6:G15" si="1">F6/$P6*100</f>
        <v>26.269241155819607</v>
      </c>
      <c r="H6" s="30">
        <f>SUM(H7:H9)</f>
        <v>4277</v>
      </c>
      <c r="I6" s="60">
        <f t="shared" ref="I6:I15" si="2">H6/$P6*100</f>
        <v>28.875236294896027</v>
      </c>
      <c r="J6" s="30">
        <f>SUM(J7:J9)</f>
        <v>3187</v>
      </c>
      <c r="K6" s="60">
        <f t="shared" ref="K6:K15" si="3">J6/$P6*100</f>
        <v>21.516338104239804</v>
      </c>
      <c r="L6" s="30">
        <f>SUM(L7:L9)</f>
        <v>1788</v>
      </c>
      <c r="M6" s="60">
        <f t="shared" ref="M6:M15" si="4">L6/$P6*100</f>
        <v>12.071293545773697</v>
      </c>
      <c r="N6" s="30">
        <f>SUM(N7:N9)</f>
        <v>1669</v>
      </c>
      <c r="O6" s="60">
        <f t="shared" ref="O6:O15" si="5">N6/$P6*100</f>
        <v>11.267890899270862</v>
      </c>
      <c r="P6" s="30">
        <f>SUM(P7:P9)</f>
        <v>14812</v>
      </c>
      <c r="Q6" s="60">
        <f t="shared" ref="Q6:Q15" si="6">P6/$D6*100</f>
        <v>96.469975250748988</v>
      </c>
      <c r="R6" s="30">
        <f>SUM(R7:R9)</f>
        <v>542</v>
      </c>
      <c r="S6" s="60">
        <f t="shared" ref="S6:S15" si="7">R6/$D6*100</f>
        <v>3.5300247492510097</v>
      </c>
      <c r="T6" s="30">
        <f>SUM(T7:T9)</f>
        <v>9396</v>
      </c>
      <c r="U6" s="61">
        <f t="shared" ref="U6:U14" si="8">T6/$C6*100</f>
        <v>37.963636363636368</v>
      </c>
    </row>
    <row r="7" spans="1:21" s="62" customFormat="1" ht="41.25" customHeight="1">
      <c r="A7" s="63" t="s">
        <v>61</v>
      </c>
      <c r="B7" s="66"/>
      <c r="C7" s="64">
        <v>3345</v>
      </c>
      <c r="D7" s="64">
        <v>3341</v>
      </c>
      <c r="E7" s="50">
        <f t="shared" si="0"/>
        <v>99.880418535127063</v>
      </c>
      <c r="F7" s="64">
        <v>822</v>
      </c>
      <c r="G7" s="50">
        <f t="shared" si="1"/>
        <v>25.792281142139945</v>
      </c>
      <c r="H7" s="64">
        <v>1105</v>
      </c>
      <c r="I7" s="50">
        <f t="shared" si="2"/>
        <v>34.67210542830248</v>
      </c>
      <c r="J7" s="64">
        <v>554</v>
      </c>
      <c r="K7" s="50">
        <f t="shared" si="3"/>
        <v>17.383118920614997</v>
      </c>
      <c r="L7" s="64">
        <v>368</v>
      </c>
      <c r="M7" s="50">
        <f t="shared" si="4"/>
        <v>11.546909319108879</v>
      </c>
      <c r="N7" s="64">
        <v>338</v>
      </c>
      <c r="O7" s="50">
        <f t="shared" si="5"/>
        <v>10.6055851898337</v>
      </c>
      <c r="P7" s="64">
        <f>F7+H7+J7+L7+N7</f>
        <v>3187</v>
      </c>
      <c r="Q7" s="50">
        <f t="shared" si="6"/>
        <v>95.390601616282552</v>
      </c>
      <c r="R7" s="64">
        <f>D7-P7</f>
        <v>154</v>
      </c>
      <c r="S7" s="50">
        <f t="shared" si="7"/>
        <v>4.6093983837174504</v>
      </c>
      <c r="T7" s="65">
        <v>4</v>
      </c>
      <c r="U7" s="51">
        <f t="shared" si="8"/>
        <v>0.1195814648729447</v>
      </c>
    </row>
    <row r="8" spans="1:21" s="62" customFormat="1" ht="41.25" customHeight="1">
      <c r="A8" s="63" t="s">
        <v>60</v>
      </c>
      <c r="B8" s="66"/>
      <c r="C8" s="64">
        <v>82</v>
      </c>
      <c r="D8" s="64">
        <v>75</v>
      </c>
      <c r="E8" s="50">
        <f>D8/C8*100</f>
        <v>91.463414634146346</v>
      </c>
      <c r="F8" s="64">
        <v>17</v>
      </c>
      <c r="G8" s="50">
        <f>F8/$P8*100</f>
        <v>23.287671232876711</v>
      </c>
      <c r="H8" s="64">
        <v>28</v>
      </c>
      <c r="I8" s="50">
        <f>H8/$P8*100</f>
        <v>38.356164383561641</v>
      </c>
      <c r="J8" s="64">
        <v>14</v>
      </c>
      <c r="K8" s="50">
        <f>J8/$P8*100</f>
        <v>19.17808219178082</v>
      </c>
      <c r="L8" s="64">
        <v>8</v>
      </c>
      <c r="M8" s="50">
        <f>L8/$P8*100</f>
        <v>10.95890410958904</v>
      </c>
      <c r="N8" s="64">
        <v>6</v>
      </c>
      <c r="O8" s="50">
        <f>N8/$P8*100</f>
        <v>8.2191780821917799</v>
      </c>
      <c r="P8" s="64">
        <f>F8+H8+J8+L8+N8</f>
        <v>73</v>
      </c>
      <c r="Q8" s="50">
        <f>P8/$D8*100</f>
        <v>97.333333333333343</v>
      </c>
      <c r="R8" s="64">
        <f>D8-P8</f>
        <v>2</v>
      </c>
      <c r="S8" s="50">
        <f>R8/$D8*100</f>
        <v>2.666666666666667</v>
      </c>
      <c r="T8" s="65">
        <f>C8-D8</f>
        <v>7</v>
      </c>
      <c r="U8" s="51">
        <f>T8/$C8*100</f>
        <v>8.536585365853659</v>
      </c>
    </row>
    <row r="9" spans="1:21" s="80" customFormat="1" ht="41.25" customHeight="1">
      <c r="A9" s="81" t="s">
        <v>39</v>
      </c>
      <c r="B9" s="82">
        <f>SUM(B10:B14)</f>
        <v>13</v>
      </c>
      <c r="C9" s="83">
        <f>SUM(C10:C14)</f>
        <v>21323</v>
      </c>
      <c r="D9" s="83">
        <f>SUM(D10:D15)</f>
        <v>11938</v>
      </c>
      <c r="E9" s="84">
        <f t="shared" si="0"/>
        <v>55.986493457768603</v>
      </c>
      <c r="F9" s="83">
        <f>SUM(F10:F15)</f>
        <v>3052</v>
      </c>
      <c r="G9" s="84">
        <f t="shared" si="1"/>
        <v>26.4196675900277</v>
      </c>
      <c r="H9" s="83">
        <f>SUM(H10:H15)</f>
        <v>3144</v>
      </c>
      <c r="I9" s="84">
        <f>H9/$P9*100</f>
        <v>27.21606648199446</v>
      </c>
      <c r="J9" s="83">
        <f>SUM(J10:J15)</f>
        <v>2619</v>
      </c>
      <c r="K9" s="84">
        <f t="shared" si="3"/>
        <v>22.67139889196676</v>
      </c>
      <c r="L9" s="83">
        <f>SUM(L10:L15)</f>
        <v>1412</v>
      </c>
      <c r="M9" s="84">
        <f t="shared" si="4"/>
        <v>12.222991689750693</v>
      </c>
      <c r="N9" s="83">
        <f>SUM(N10:N15)</f>
        <v>1325</v>
      </c>
      <c r="O9" s="84">
        <f t="shared" si="5"/>
        <v>11.469875346260388</v>
      </c>
      <c r="P9" s="83">
        <f>SUM(P10:P15)</f>
        <v>11552</v>
      </c>
      <c r="Q9" s="84">
        <f t="shared" si="6"/>
        <v>96.766627575808343</v>
      </c>
      <c r="R9" s="83">
        <f>SUM(R10:R15)</f>
        <v>386</v>
      </c>
      <c r="S9" s="84">
        <f t="shared" si="7"/>
        <v>3.233372424191657</v>
      </c>
      <c r="T9" s="83">
        <f>SUM(T10:T15)</f>
        <v>9385</v>
      </c>
      <c r="U9" s="85">
        <f t="shared" si="8"/>
        <v>44.013506542231397</v>
      </c>
    </row>
    <row r="10" spans="1:21" s="62" customFormat="1" ht="41.25" customHeight="1">
      <c r="A10" s="63" t="s">
        <v>7</v>
      </c>
      <c r="B10" s="68">
        <v>6</v>
      </c>
      <c r="C10" s="49">
        <v>9500</v>
      </c>
      <c r="D10" s="28">
        <v>5081</v>
      </c>
      <c r="E10" s="50">
        <f>D10/C10*100</f>
        <v>53.484210526315792</v>
      </c>
      <c r="F10" s="28">
        <v>750</v>
      </c>
      <c r="G10" s="50">
        <f t="shared" si="1"/>
        <v>15.185260174124316</v>
      </c>
      <c r="H10" s="28">
        <v>474</v>
      </c>
      <c r="I10" s="50">
        <f t="shared" si="2"/>
        <v>9.5970844300465679</v>
      </c>
      <c r="J10" s="28">
        <v>1885</v>
      </c>
      <c r="K10" s="50">
        <f t="shared" si="3"/>
        <v>38.165620570965778</v>
      </c>
      <c r="L10" s="28">
        <v>976</v>
      </c>
      <c r="M10" s="50">
        <f t="shared" si="4"/>
        <v>19.761085239927112</v>
      </c>
      <c r="N10" s="28">
        <v>854</v>
      </c>
      <c r="O10" s="50">
        <f t="shared" si="5"/>
        <v>17.290949584936222</v>
      </c>
      <c r="P10" s="28">
        <f t="shared" ref="P10:P15" si="9">F10+H10+J10+L10+N10</f>
        <v>4939</v>
      </c>
      <c r="Q10" s="50">
        <f>P10/$D10*100</f>
        <v>97.205274552253499</v>
      </c>
      <c r="R10" s="28">
        <f t="shared" ref="R10:R15" si="10">D10-P10</f>
        <v>142</v>
      </c>
      <c r="S10" s="50">
        <f>R10/$D10*100</f>
        <v>2.7947254477465067</v>
      </c>
      <c r="T10" s="28">
        <f>C10-D10</f>
        <v>4419</v>
      </c>
      <c r="U10" s="51">
        <f t="shared" si="8"/>
        <v>46.515789473684208</v>
      </c>
    </row>
    <row r="11" spans="1:21" s="62" customFormat="1" ht="41.25" customHeight="1">
      <c r="A11" s="63" t="s">
        <v>8</v>
      </c>
      <c r="B11" s="68">
        <v>2</v>
      </c>
      <c r="C11" s="49">
        <v>3532</v>
      </c>
      <c r="D11" s="28">
        <v>2091</v>
      </c>
      <c r="E11" s="50">
        <f>D11/C11*100</f>
        <v>59.201585503963763</v>
      </c>
      <c r="F11" s="28">
        <v>1271</v>
      </c>
      <c r="G11" s="50">
        <f t="shared" si="1"/>
        <v>63.233830845771145</v>
      </c>
      <c r="H11" s="28">
        <v>438</v>
      </c>
      <c r="I11" s="50">
        <f t="shared" si="2"/>
        <v>21.791044776119403</v>
      </c>
      <c r="J11" s="28">
        <v>102</v>
      </c>
      <c r="K11" s="50">
        <f t="shared" si="3"/>
        <v>5.0746268656716413</v>
      </c>
      <c r="L11" s="28">
        <v>101</v>
      </c>
      <c r="M11" s="50">
        <f t="shared" si="4"/>
        <v>5.0248756218905477</v>
      </c>
      <c r="N11" s="28">
        <v>98</v>
      </c>
      <c r="O11" s="50">
        <f t="shared" si="5"/>
        <v>4.8756218905472641</v>
      </c>
      <c r="P11" s="28">
        <f t="shared" si="9"/>
        <v>2010</v>
      </c>
      <c r="Q11" s="50">
        <f t="shared" si="6"/>
        <v>96.12625538020086</v>
      </c>
      <c r="R11" s="28">
        <f t="shared" si="10"/>
        <v>81</v>
      </c>
      <c r="S11" s="50">
        <f t="shared" si="7"/>
        <v>3.873744619799139</v>
      </c>
      <c r="T11" s="28">
        <f>C11-D11</f>
        <v>1441</v>
      </c>
      <c r="U11" s="51">
        <f t="shared" si="8"/>
        <v>40.798414496036237</v>
      </c>
    </row>
    <row r="12" spans="1:21" s="62" customFormat="1" ht="41.25" customHeight="1">
      <c r="A12" s="63" t="s">
        <v>9</v>
      </c>
      <c r="B12" s="68">
        <v>2</v>
      </c>
      <c r="C12" s="49">
        <v>3079</v>
      </c>
      <c r="D12" s="28">
        <v>1795</v>
      </c>
      <c r="E12" s="50">
        <f t="shared" si="0"/>
        <v>58.298148749594027</v>
      </c>
      <c r="F12" s="28">
        <v>281</v>
      </c>
      <c r="G12" s="50">
        <f t="shared" si="1"/>
        <v>16.177317213586644</v>
      </c>
      <c r="H12" s="28">
        <v>1274</v>
      </c>
      <c r="I12" s="50">
        <f t="shared" si="2"/>
        <v>73.344847438111685</v>
      </c>
      <c r="J12" s="28">
        <v>62</v>
      </c>
      <c r="K12" s="50">
        <f t="shared" si="3"/>
        <v>3.5693724812895797</v>
      </c>
      <c r="L12" s="28">
        <v>53</v>
      </c>
      <c r="M12" s="50">
        <f t="shared" si="4"/>
        <v>3.0512377662636729</v>
      </c>
      <c r="N12" s="28">
        <v>67</v>
      </c>
      <c r="O12" s="50">
        <f t="shared" si="5"/>
        <v>3.8572251007484168</v>
      </c>
      <c r="P12" s="28">
        <f t="shared" si="9"/>
        <v>1737</v>
      </c>
      <c r="Q12" s="50">
        <f t="shared" si="6"/>
        <v>96.768802228412255</v>
      </c>
      <c r="R12" s="28">
        <f t="shared" si="10"/>
        <v>58</v>
      </c>
      <c r="S12" s="50">
        <f t="shared" si="7"/>
        <v>3.2311977715877438</v>
      </c>
      <c r="T12" s="28">
        <f>C12-D12</f>
        <v>1284</v>
      </c>
      <c r="U12" s="51">
        <f t="shared" si="8"/>
        <v>41.701851250405973</v>
      </c>
    </row>
    <row r="13" spans="1:21" s="62" customFormat="1" ht="41.25" customHeight="1">
      <c r="A13" s="63" t="s">
        <v>10</v>
      </c>
      <c r="B13" s="68">
        <v>2</v>
      </c>
      <c r="C13" s="49">
        <v>2600</v>
      </c>
      <c r="D13" s="28">
        <v>1475</v>
      </c>
      <c r="E13" s="50">
        <f t="shared" si="0"/>
        <v>56.730769230769226</v>
      </c>
      <c r="F13" s="28">
        <v>464</v>
      </c>
      <c r="G13" s="50">
        <f t="shared" si="1"/>
        <v>32.977967306325517</v>
      </c>
      <c r="H13" s="28">
        <v>508</v>
      </c>
      <c r="I13" s="50">
        <f t="shared" si="2"/>
        <v>36.105188343994314</v>
      </c>
      <c r="J13" s="28">
        <v>237</v>
      </c>
      <c r="K13" s="50">
        <f t="shared" si="3"/>
        <v>16.844349680170577</v>
      </c>
      <c r="L13" s="28">
        <v>84</v>
      </c>
      <c r="M13" s="50">
        <f t="shared" si="4"/>
        <v>5.9701492537313428</v>
      </c>
      <c r="N13" s="28">
        <v>114</v>
      </c>
      <c r="O13" s="50">
        <f t="shared" si="5"/>
        <v>8.1023454157782524</v>
      </c>
      <c r="P13" s="28">
        <f t="shared" si="9"/>
        <v>1407</v>
      </c>
      <c r="Q13" s="50">
        <f t="shared" si="6"/>
        <v>95.389830508474574</v>
      </c>
      <c r="R13" s="28">
        <f t="shared" si="10"/>
        <v>68</v>
      </c>
      <c r="S13" s="50">
        <f t="shared" si="7"/>
        <v>4.6101694915254239</v>
      </c>
      <c r="T13" s="28">
        <f>C13-D13</f>
        <v>1125</v>
      </c>
      <c r="U13" s="51">
        <f t="shared" si="8"/>
        <v>43.269230769230774</v>
      </c>
    </row>
    <row r="14" spans="1:21" s="62" customFormat="1" ht="41.25" customHeight="1">
      <c r="A14" s="93" t="s">
        <v>17</v>
      </c>
      <c r="B14" s="94">
        <v>1</v>
      </c>
      <c r="C14" s="95">
        <v>2612</v>
      </c>
      <c r="D14" s="96">
        <v>1482</v>
      </c>
      <c r="E14" s="97">
        <f t="shared" si="0"/>
        <v>56.738131699846861</v>
      </c>
      <c r="F14" s="96">
        <v>281</v>
      </c>
      <c r="G14" s="97">
        <f t="shared" si="1"/>
        <v>19.446366782006923</v>
      </c>
      <c r="H14" s="96">
        <v>445</v>
      </c>
      <c r="I14" s="97">
        <f t="shared" si="2"/>
        <v>30.79584775086505</v>
      </c>
      <c r="J14" s="96">
        <v>332</v>
      </c>
      <c r="K14" s="97">
        <f t="shared" si="3"/>
        <v>22.975778546712803</v>
      </c>
      <c r="L14" s="96">
        <v>198</v>
      </c>
      <c r="M14" s="97">
        <f t="shared" si="4"/>
        <v>13.702422145328718</v>
      </c>
      <c r="N14" s="96">
        <v>189</v>
      </c>
      <c r="O14" s="97">
        <f t="shared" si="5"/>
        <v>13.079584775086506</v>
      </c>
      <c r="P14" s="96">
        <f t="shared" si="9"/>
        <v>1445</v>
      </c>
      <c r="Q14" s="97">
        <f t="shared" si="6"/>
        <v>97.503373819163301</v>
      </c>
      <c r="R14" s="96">
        <f t="shared" si="10"/>
        <v>37</v>
      </c>
      <c r="S14" s="97">
        <f t="shared" si="7"/>
        <v>2.496626180836707</v>
      </c>
      <c r="T14" s="96">
        <f>C14-D14</f>
        <v>1130</v>
      </c>
      <c r="U14" s="98">
        <f t="shared" si="8"/>
        <v>43.261868300153139</v>
      </c>
    </row>
    <row r="15" spans="1:21" s="62" customFormat="1" ht="41.25" customHeight="1">
      <c r="A15" s="149" t="s">
        <v>40</v>
      </c>
      <c r="B15" s="150"/>
      <c r="C15" s="99"/>
      <c r="D15" s="100">
        <v>14</v>
      </c>
      <c r="E15" s="101">
        <f>D15/D6*100</f>
        <v>9.1181451087664456E-2</v>
      </c>
      <c r="F15" s="100">
        <v>5</v>
      </c>
      <c r="G15" s="101">
        <f t="shared" si="1"/>
        <v>35.714285714285715</v>
      </c>
      <c r="H15" s="100">
        <v>5</v>
      </c>
      <c r="I15" s="101">
        <f t="shared" si="2"/>
        <v>35.714285714285715</v>
      </c>
      <c r="J15" s="100">
        <v>1</v>
      </c>
      <c r="K15" s="101">
        <f t="shared" si="3"/>
        <v>7.1428571428571423</v>
      </c>
      <c r="L15" s="100"/>
      <c r="M15" s="101">
        <f t="shared" si="4"/>
        <v>0</v>
      </c>
      <c r="N15" s="100">
        <v>3</v>
      </c>
      <c r="O15" s="101">
        <f t="shared" si="5"/>
        <v>21.428571428571427</v>
      </c>
      <c r="P15" s="100">
        <f t="shared" si="9"/>
        <v>14</v>
      </c>
      <c r="Q15" s="101">
        <f t="shared" si="6"/>
        <v>100</v>
      </c>
      <c r="R15" s="100">
        <f t="shared" si="10"/>
        <v>0</v>
      </c>
      <c r="S15" s="101">
        <f t="shared" si="7"/>
        <v>0</v>
      </c>
      <c r="T15" s="100">
        <v>-14</v>
      </c>
      <c r="U15" s="102"/>
    </row>
    <row r="16" spans="1:21" s="5" customFormat="1" ht="17.25" customHeight="1">
      <c r="A16" s="23"/>
      <c r="B16" s="6"/>
      <c r="C16" s="6"/>
      <c r="D16" s="6"/>
      <c r="E16" s="32"/>
      <c r="F16" s="6"/>
      <c r="G16" s="32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s="5" customFormat="1">
      <c r="A17" s="23"/>
      <c r="B17" s="6"/>
      <c r="C17" s="6"/>
      <c r="D17" s="6"/>
      <c r="E17" s="32"/>
      <c r="F17" s="6"/>
      <c r="G17" s="32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s="5" customFormat="1">
      <c r="A18" s="8"/>
      <c r="B18" s="6"/>
      <c r="C18" s="6"/>
      <c r="D18" s="6"/>
      <c r="E18" s="32"/>
      <c r="F18" s="6"/>
      <c r="G18" s="32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s="5" customFormat="1">
      <c r="A19" s="8"/>
      <c r="B19" s="6"/>
      <c r="C19" s="6"/>
      <c r="D19" s="6"/>
      <c r="E19" s="32"/>
      <c r="F19" s="6"/>
      <c r="G19" s="32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s="5" customFormat="1">
      <c r="A20" s="8"/>
      <c r="B20" s="6"/>
      <c r="C20" s="6"/>
      <c r="D20" s="6"/>
      <c r="E20" s="32"/>
      <c r="F20" s="6"/>
      <c r="G20" s="32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s="5" customFormat="1">
      <c r="A21" s="8"/>
      <c r="B21" s="6"/>
      <c r="C21" s="6"/>
      <c r="D21" s="6"/>
      <c r="E21" s="32"/>
      <c r="F21" s="6"/>
      <c r="G21" s="32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s="5" customFormat="1">
      <c r="A22" s="8"/>
      <c r="B22" s="6"/>
      <c r="C22" s="6"/>
      <c r="D22" s="6"/>
      <c r="E22" s="32"/>
      <c r="F22" s="6"/>
      <c r="G22" s="32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s="5" customFormat="1">
      <c r="A23" s="8"/>
      <c r="B23" s="6"/>
      <c r="C23" s="6"/>
      <c r="D23" s="6"/>
      <c r="E23" s="32"/>
      <c r="F23" s="6"/>
      <c r="G23" s="32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s="5" customFormat="1">
      <c r="A24" s="8"/>
      <c r="B24" s="6"/>
      <c r="C24" s="6"/>
      <c r="D24" s="6"/>
      <c r="E24" s="32"/>
      <c r="F24" s="6"/>
      <c r="G24" s="32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s="5" customFormat="1">
      <c r="A25" s="8"/>
      <c r="B25" s="6"/>
      <c r="C25" s="6"/>
      <c r="D25" s="6"/>
      <c r="E25" s="32"/>
      <c r="F25" s="6"/>
      <c r="G25" s="32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s="5" customFormat="1">
      <c r="A26" s="8"/>
      <c r="B26" s="6"/>
      <c r="C26" s="6"/>
      <c r="D26" s="6"/>
      <c r="E26" s="32"/>
      <c r="F26" s="6"/>
      <c r="G26" s="32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s="5" customFormat="1">
      <c r="A27" s="8"/>
      <c r="B27" s="6"/>
      <c r="C27" s="6"/>
      <c r="D27" s="6"/>
      <c r="E27" s="32"/>
      <c r="F27" s="6"/>
      <c r="G27" s="32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s="5" customFormat="1">
      <c r="A28" s="8"/>
      <c r="B28" s="6"/>
      <c r="C28" s="6"/>
      <c r="D28" s="6"/>
      <c r="E28" s="32"/>
      <c r="F28" s="6"/>
      <c r="G28" s="32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s="5" customFormat="1">
      <c r="A29" s="8"/>
      <c r="B29" s="6"/>
      <c r="C29" s="6"/>
      <c r="D29" s="6"/>
      <c r="E29" s="32"/>
      <c r="F29" s="6"/>
      <c r="G29" s="32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s="5" customFormat="1">
      <c r="A30" s="8"/>
      <c r="B30" s="6"/>
      <c r="C30" s="6"/>
      <c r="D30" s="6"/>
      <c r="E30" s="32"/>
      <c r="F30" s="6"/>
      <c r="G30" s="32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s="5" customFormat="1">
      <c r="A31" s="8"/>
      <c r="B31" s="6"/>
      <c r="C31" s="6"/>
      <c r="D31" s="6"/>
      <c r="E31" s="32"/>
      <c r="F31" s="6"/>
      <c r="G31" s="32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s="5" customFormat="1">
      <c r="A32" s="8"/>
      <c r="B32" s="6"/>
      <c r="C32" s="6"/>
      <c r="D32" s="6"/>
      <c r="E32" s="32"/>
      <c r="F32" s="6"/>
      <c r="G32" s="32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s="5" customFormat="1">
      <c r="A33" s="8"/>
      <c r="B33" s="6"/>
      <c r="C33" s="6"/>
      <c r="D33" s="6"/>
      <c r="E33" s="32"/>
      <c r="F33" s="6"/>
      <c r="G33" s="32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s="5" customFormat="1">
      <c r="A34" s="8"/>
      <c r="B34" s="6"/>
      <c r="C34" s="6"/>
      <c r="D34" s="6"/>
      <c r="E34" s="32"/>
      <c r="F34" s="6"/>
      <c r="G34" s="32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s="5" customFormat="1">
      <c r="A35" s="8"/>
      <c r="B35" s="6"/>
      <c r="C35" s="6"/>
      <c r="D35" s="6"/>
      <c r="E35" s="32"/>
      <c r="F35" s="6"/>
      <c r="G35" s="32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s="5" customFormat="1">
      <c r="A36" s="8"/>
      <c r="B36" s="6"/>
      <c r="C36" s="6"/>
      <c r="D36" s="6"/>
      <c r="E36" s="32"/>
      <c r="F36" s="6"/>
      <c r="G36" s="32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s="5" customFormat="1">
      <c r="A37" s="8"/>
      <c r="B37" s="6"/>
      <c r="C37" s="6"/>
      <c r="D37" s="6"/>
      <c r="E37" s="32"/>
      <c r="F37" s="6"/>
      <c r="G37" s="32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s="3" customFormat="1">
      <c r="A38" s="9"/>
      <c r="B38" s="7"/>
      <c r="C38" s="7"/>
      <c r="D38" s="7"/>
      <c r="E38" s="33"/>
      <c r="F38" s="7"/>
      <c r="G38" s="33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1:21" s="3" customFormat="1">
      <c r="A39" s="9"/>
      <c r="B39" s="7"/>
      <c r="C39" s="7"/>
      <c r="D39" s="7"/>
      <c r="E39" s="33"/>
      <c r="F39" s="7"/>
      <c r="G39" s="33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1:21" s="3" customFormat="1">
      <c r="A40" s="9"/>
      <c r="B40" s="7"/>
      <c r="C40" s="7"/>
      <c r="D40" s="7"/>
      <c r="E40" s="33"/>
      <c r="F40" s="7"/>
      <c r="G40" s="33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1" s="3" customFormat="1">
      <c r="A41" s="9"/>
      <c r="B41" s="7"/>
      <c r="C41" s="7"/>
      <c r="D41" s="7"/>
      <c r="E41" s="33"/>
      <c r="F41" s="7"/>
      <c r="G41" s="33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1:21" s="3" customFormat="1">
      <c r="A42" s="9"/>
      <c r="B42" s="7"/>
      <c r="C42" s="7"/>
      <c r="D42" s="7"/>
      <c r="E42" s="33"/>
      <c r="F42" s="7"/>
      <c r="G42" s="33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1:21" s="3" customFormat="1">
      <c r="A43" s="9"/>
      <c r="B43" s="7"/>
      <c r="C43" s="7"/>
      <c r="D43" s="7"/>
      <c r="E43" s="33"/>
      <c r="F43" s="7"/>
      <c r="G43" s="33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</sheetData>
  <sheetProtection password="CA6A" sheet="1"/>
  <mergeCells count="15">
    <mergeCell ref="B3:B5"/>
    <mergeCell ref="C3:C5"/>
    <mergeCell ref="A15:B15"/>
    <mergeCell ref="P4:Q4"/>
    <mergeCell ref="F3:Q3"/>
    <mergeCell ref="A1:U1"/>
    <mergeCell ref="R3:S4"/>
    <mergeCell ref="L4:M4"/>
    <mergeCell ref="T3:U4"/>
    <mergeCell ref="H4:I4"/>
    <mergeCell ref="J4:K4"/>
    <mergeCell ref="N4:O4"/>
    <mergeCell ref="A3:A5"/>
    <mergeCell ref="F4:G4"/>
    <mergeCell ref="D3:E4"/>
  </mergeCells>
  <phoneticPr fontId="2" type="noConversion"/>
  <printOptions horizontalCentered="1"/>
  <pageMargins left="0.43" right="0.28000000000000003" top="0.73" bottom="0.23" header="0.28999999999999998" footer="0.16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W53"/>
  <sheetViews>
    <sheetView zoomScale="120" zoomScaleNormal="120" zoomScaleSheetLayoutView="125" workbookViewId="0">
      <pane xSplit="2" ySplit="5" topLeftCell="C9" activePane="bottomRight" state="frozen"/>
      <selection activeCell="C27" sqref="C27"/>
      <selection pane="topRight" activeCell="C27" sqref="C27"/>
      <selection pane="bottomLeft" activeCell="C27" sqref="C27"/>
      <selection pane="bottomRight" activeCell="C27" sqref="C27"/>
    </sheetView>
  </sheetViews>
  <sheetFormatPr defaultRowHeight="13.5"/>
  <cols>
    <col min="1" max="1" width="6" style="1" customWidth="1"/>
    <col min="2" max="2" width="4.5546875" style="4" customWidth="1"/>
    <col min="3" max="4" width="6" style="4" customWidth="1"/>
    <col min="5" max="5" width="6" style="31" customWidth="1"/>
    <col min="6" max="6" width="6" style="4" customWidth="1"/>
    <col min="7" max="7" width="5.44140625" style="31" customWidth="1"/>
    <col min="8" max="8" width="6" style="4" customWidth="1"/>
    <col min="9" max="9" width="5.5546875" style="4" customWidth="1"/>
    <col min="10" max="20" width="6" style="4" customWidth="1"/>
    <col min="21" max="21" width="5.33203125" style="4" customWidth="1"/>
    <col min="22" max="22" width="6" style="4" customWidth="1"/>
    <col min="23" max="23" width="5.33203125" style="4" customWidth="1"/>
    <col min="24" max="24" width="6" style="1" customWidth="1"/>
    <col min="25" max="16384" width="8.88671875" style="1"/>
  </cols>
  <sheetData>
    <row r="1" spans="1:23" ht="27">
      <c r="A1" s="146" t="s">
        <v>53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2" spans="1:23" ht="16.5">
      <c r="A2" s="42"/>
      <c r="E2" s="31" t="s">
        <v>112</v>
      </c>
      <c r="W2" s="24" t="s">
        <v>69</v>
      </c>
    </row>
    <row r="3" spans="1:23" ht="19.149999999999999" customHeight="1">
      <c r="A3" s="159" t="s">
        <v>41</v>
      </c>
      <c r="B3" s="162" t="s">
        <v>0</v>
      </c>
      <c r="C3" s="165" t="s">
        <v>1</v>
      </c>
      <c r="D3" s="151" t="s">
        <v>4</v>
      </c>
      <c r="E3" s="152"/>
      <c r="F3" s="168" t="s">
        <v>37</v>
      </c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70"/>
      <c r="T3" s="151" t="s">
        <v>38</v>
      </c>
      <c r="U3" s="152"/>
      <c r="V3" s="151" t="s">
        <v>6</v>
      </c>
      <c r="W3" s="157"/>
    </row>
    <row r="4" spans="1:23" ht="19.149999999999999" customHeight="1">
      <c r="A4" s="160"/>
      <c r="B4" s="163"/>
      <c r="C4" s="166"/>
      <c r="D4" s="153"/>
      <c r="E4" s="154"/>
      <c r="F4" s="171" t="s">
        <v>72</v>
      </c>
      <c r="G4" s="172"/>
      <c r="H4" s="171" t="s">
        <v>73</v>
      </c>
      <c r="I4" s="172"/>
      <c r="J4" s="171" t="s">
        <v>78</v>
      </c>
      <c r="K4" s="172"/>
      <c r="L4" s="171" t="s">
        <v>65</v>
      </c>
      <c r="M4" s="172"/>
      <c r="N4" s="171" t="s">
        <v>79</v>
      </c>
      <c r="O4" s="172"/>
      <c r="P4" s="171" t="s">
        <v>84</v>
      </c>
      <c r="Q4" s="172"/>
      <c r="R4" s="171" t="s">
        <v>5</v>
      </c>
      <c r="S4" s="172"/>
      <c r="T4" s="153"/>
      <c r="U4" s="154"/>
      <c r="V4" s="153"/>
      <c r="W4" s="158"/>
    </row>
    <row r="5" spans="1:23" ht="19.149999999999999" customHeight="1">
      <c r="A5" s="161"/>
      <c r="B5" s="164"/>
      <c r="C5" s="167"/>
      <c r="D5" s="38"/>
      <c r="E5" s="39" t="s">
        <v>3</v>
      </c>
      <c r="F5" s="40" t="s">
        <v>80</v>
      </c>
      <c r="G5" s="39" t="s">
        <v>3</v>
      </c>
      <c r="H5" s="40" t="s">
        <v>81</v>
      </c>
      <c r="I5" s="41" t="s">
        <v>3</v>
      </c>
      <c r="J5" s="40" t="s">
        <v>48</v>
      </c>
      <c r="K5" s="41" t="s">
        <v>3</v>
      </c>
      <c r="L5" s="40" t="s">
        <v>49</v>
      </c>
      <c r="M5" s="41" t="s">
        <v>3</v>
      </c>
      <c r="N5" s="40" t="s">
        <v>82</v>
      </c>
      <c r="O5" s="41" t="s">
        <v>3</v>
      </c>
      <c r="P5" s="40" t="s">
        <v>83</v>
      </c>
      <c r="Q5" s="41" t="s">
        <v>3</v>
      </c>
      <c r="R5" s="38"/>
      <c r="S5" s="41" t="s">
        <v>3</v>
      </c>
      <c r="T5" s="38"/>
      <c r="U5" s="41" t="s">
        <v>3</v>
      </c>
      <c r="V5" s="38"/>
      <c r="W5" s="43" t="s">
        <v>3</v>
      </c>
    </row>
    <row r="6" spans="1:23" ht="50.25" customHeight="1">
      <c r="A6" s="44" t="s">
        <v>2</v>
      </c>
      <c r="B6" s="29">
        <f>SUM(B7,B9)</f>
        <v>9</v>
      </c>
      <c r="C6" s="30">
        <f>SUM(C7:C9)</f>
        <v>28925</v>
      </c>
      <c r="D6" s="30">
        <f>SUM(D7:D9)</f>
        <v>17683</v>
      </c>
      <c r="E6" s="37">
        <f t="shared" ref="E6:E11" si="0">D6/C6*100</f>
        <v>61.133967156439063</v>
      </c>
      <c r="F6" s="30">
        <f>SUM(F7:F9)</f>
        <v>3464</v>
      </c>
      <c r="G6" s="37">
        <f t="shared" ref="G6:G12" si="1">F6/$R6*100</f>
        <v>20.246653807937342</v>
      </c>
      <c r="H6" s="30">
        <f>SUM(H7:H9)</f>
        <v>2929</v>
      </c>
      <c r="I6" s="37">
        <f t="shared" ref="I6:I12" si="2">H6/$R6*100</f>
        <v>17.119644631480508</v>
      </c>
      <c r="J6" s="30">
        <f>SUM(J7:J9)</f>
        <v>4054</v>
      </c>
      <c r="K6" s="37">
        <f t="shared" ref="K6:K12" si="3">J6/$R6*100</f>
        <v>23.695131217487873</v>
      </c>
      <c r="L6" s="30">
        <f>SUM(L7:L9)</f>
        <v>2691</v>
      </c>
      <c r="M6" s="37">
        <f t="shared" ref="M6:O12" si="4">L6/$R6*100</f>
        <v>15.728563913729616</v>
      </c>
      <c r="N6" s="30">
        <f>SUM(N7:N9)</f>
        <v>2435</v>
      </c>
      <c r="O6" s="37">
        <f t="shared" si="4"/>
        <v>14.232275410602607</v>
      </c>
      <c r="P6" s="30">
        <f>SUM(P7:P9)</f>
        <v>1536</v>
      </c>
      <c r="Q6" s="37">
        <f t="shared" ref="Q6:Q12" si="5">P6/$R6*100</f>
        <v>8.9777310187620554</v>
      </c>
      <c r="R6" s="30">
        <f>SUM(R7:R9)</f>
        <v>17109</v>
      </c>
      <c r="S6" s="37">
        <f t="shared" ref="S6:S12" si="6">R6/$D6*100</f>
        <v>96.753944466436693</v>
      </c>
      <c r="T6" s="30">
        <f>SUM(T7:T9)</f>
        <v>574</v>
      </c>
      <c r="U6" s="37">
        <f t="shared" ref="U6:U12" si="7">T6/$D6*100</f>
        <v>3.2460555335633092</v>
      </c>
      <c r="V6" s="30">
        <f>SUM(V7:V9)</f>
        <v>11242</v>
      </c>
      <c r="W6" s="45">
        <f t="shared" ref="W6:W11" si="8">V6/$C6*100</f>
        <v>38.86603284356093</v>
      </c>
    </row>
    <row r="7" spans="1:23" ht="50.25" customHeight="1">
      <c r="A7" s="46" t="s">
        <v>61</v>
      </c>
      <c r="B7" s="26"/>
      <c r="C7" s="27">
        <v>3460</v>
      </c>
      <c r="D7" s="27">
        <v>3452</v>
      </c>
      <c r="E7" s="25">
        <f t="shared" si="0"/>
        <v>99.76878612716763</v>
      </c>
      <c r="F7" s="27">
        <v>615</v>
      </c>
      <c r="G7" s="25">
        <f t="shared" si="1"/>
        <v>18.374663878099788</v>
      </c>
      <c r="H7" s="27">
        <v>566</v>
      </c>
      <c r="I7" s="25">
        <f t="shared" si="2"/>
        <v>16.91066626829997</v>
      </c>
      <c r="J7" s="27">
        <v>703</v>
      </c>
      <c r="K7" s="25">
        <f t="shared" si="3"/>
        <v>21.003884075291307</v>
      </c>
      <c r="L7" s="27">
        <v>689</v>
      </c>
      <c r="M7" s="25">
        <f t="shared" si="4"/>
        <v>20.585599043919927</v>
      </c>
      <c r="N7" s="34">
        <v>458</v>
      </c>
      <c r="O7" s="25">
        <f t="shared" si="4"/>
        <v>13.683896026292203</v>
      </c>
      <c r="P7" s="27">
        <v>316</v>
      </c>
      <c r="Q7" s="25">
        <f t="shared" si="5"/>
        <v>9.4412907080968029</v>
      </c>
      <c r="R7" s="27">
        <f>F7+H7+J7+L7+N7+P7</f>
        <v>3347</v>
      </c>
      <c r="S7" s="25">
        <f t="shared" si="6"/>
        <v>96.958285052143694</v>
      </c>
      <c r="T7" s="27">
        <f>D7-R7</f>
        <v>105</v>
      </c>
      <c r="U7" s="25">
        <f t="shared" si="7"/>
        <v>3.041714947856315</v>
      </c>
      <c r="V7" s="35">
        <v>8</v>
      </c>
      <c r="W7" s="47">
        <f t="shared" si="8"/>
        <v>0.23121387283236997</v>
      </c>
    </row>
    <row r="8" spans="1:23" ht="50.25" customHeight="1">
      <c r="A8" s="46" t="s">
        <v>60</v>
      </c>
      <c r="B8" s="26"/>
      <c r="C8" s="27">
        <v>93</v>
      </c>
      <c r="D8" s="27">
        <v>85</v>
      </c>
      <c r="E8" s="25">
        <f>D8/C8*100</f>
        <v>91.397849462365585</v>
      </c>
      <c r="F8" s="27">
        <v>24</v>
      </c>
      <c r="G8" s="25">
        <f>F8/$R8*100</f>
        <v>29.629629629629626</v>
      </c>
      <c r="H8" s="27">
        <v>15</v>
      </c>
      <c r="I8" s="25">
        <f>H8/$R8*100</f>
        <v>18.518518518518519</v>
      </c>
      <c r="J8" s="27">
        <v>21</v>
      </c>
      <c r="K8" s="25">
        <f>J8/$R8*100</f>
        <v>25.925925925925924</v>
      </c>
      <c r="L8" s="27">
        <v>9</v>
      </c>
      <c r="M8" s="25">
        <f>L8/$R8*100</f>
        <v>11.111111111111111</v>
      </c>
      <c r="N8" s="34">
        <v>6</v>
      </c>
      <c r="O8" s="25">
        <f>N8/$R8*100</f>
        <v>7.4074074074074066</v>
      </c>
      <c r="P8" s="27">
        <v>6</v>
      </c>
      <c r="Q8" s="25">
        <f>P8/$R8*100</f>
        <v>7.4074074074074066</v>
      </c>
      <c r="R8" s="27">
        <f>F8+H8+J8+L8+N8+P8</f>
        <v>81</v>
      </c>
      <c r="S8" s="25">
        <f>R8/$D8*100</f>
        <v>95.294117647058812</v>
      </c>
      <c r="T8" s="27">
        <f>D8-R8</f>
        <v>4</v>
      </c>
      <c r="U8" s="25">
        <f>T8/$D8*100</f>
        <v>4.7058823529411766</v>
      </c>
      <c r="V8" s="35">
        <f>C8-D8</f>
        <v>8</v>
      </c>
      <c r="W8" s="47">
        <f>V8/$C8*100</f>
        <v>8.6021505376344098</v>
      </c>
    </row>
    <row r="9" spans="1:23" s="86" customFormat="1" ht="50.25" customHeight="1">
      <c r="A9" s="92" t="s">
        <v>39</v>
      </c>
      <c r="B9" s="87">
        <f>SUM(B10:B11)</f>
        <v>9</v>
      </c>
      <c r="C9" s="83">
        <f>SUM(C10:C11)</f>
        <v>25372</v>
      </c>
      <c r="D9" s="83">
        <f>SUM(D10:D12)</f>
        <v>14146</v>
      </c>
      <c r="E9" s="56">
        <f t="shared" si="0"/>
        <v>55.754374901466186</v>
      </c>
      <c r="F9" s="83">
        <f>SUM(F10:F12)</f>
        <v>2825</v>
      </c>
      <c r="G9" s="56">
        <f t="shared" si="1"/>
        <v>20.649075359988306</v>
      </c>
      <c r="H9" s="83">
        <f>SUM(H10:H12)</f>
        <v>2348</v>
      </c>
      <c r="I9" s="56">
        <f t="shared" si="2"/>
        <v>17.162488122213286</v>
      </c>
      <c r="J9" s="83">
        <f>SUM(J10:J12)</f>
        <v>3330</v>
      </c>
      <c r="K9" s="56">
        <f t="shared" si="3"/>
        <v>24.340325999561436</v>
      </c>
      <c r="L9" s="83">
        <f>SUM(L10:L12)</f>
        <v>1993</v>
      </c>
      <c r="M9" s="56">
        <f t="shared" si="4"/>
        <v>14.567648563701482</v>
      </c>
      <c r="N9" s="56">
        <f>SUM(N10:N12)</f>
        <v>1971</v>
      </c>
      <c r="O9" s="56">
        <f t="shared" si="4"/>
        <v>14.406841605145823</v>
      </c>
      <c r="P9" s="83">
        <f>SUM(P10:P12)</f>
        <v>1214</v>
      </c>
      <c r="Q9" s="56">
        <f t="shared" si="5"/>
        <v>8.8736203493896646</v>
      </c>
      <c r="R9" s="83">
        <f>SUM(R10:R12)</f>
        <v>13681</v>
      </c>
      <c r="S9" s="56">
        <f t="shared" si="6"/>
        <v>96.712851689523532</v>
      </c>
      <c r="T9" s="83">
        <f>SUM(T10:T12)</f>
        <v>465</v>
      </c>
      <c r="U9" s="56">
        <f t="shared" si="7"/>
        <v>3.2871483104764598</v>
      </c>
      <c r="V9" s="83">
        <f>SUM(V10:V12)</f>
        <v>11226</v>
      </c>
      <c r="W9" s="88">
        <f t="shared" si="8"/>
        <v>44.245625098533822</v>
      </c>
    </row>
    <row r="10" spans="1:23" ht="50.25" customHeight="1">
      <c r="A10" s="46" t="s">
        <v>18</v>
      </c>
      <c r="B10" s="48">
        <v>6</v>
      </c>
      <c r="C10" s="49">
        <v>18581</v>
      </c>
      <c r="D10" s="28">
        <v>10257</v>
      </c>
      <c r="E10" s="50">
        <f t="shared" si="0"/>
        <v>55.201549970399867</v>
      </c>
      <c r="F10" s="28">
        <v>2185</v>
      </c>
      <c r="G10" s="50">
        <f t="shared" si="1"/>
        <v>22.077397191068002</v>
      </c>
      <c r="H10" s="28">
        <v>1835</v>
      </c>
      <c r="I10" s="50">
        <f t="shared" si="2"/>
        <v>18.540972011720726</v>
      </c>
      <c r="J10" s="28">
        <v>2052</v>
      </c>
      <c r="K10" s="50">
        <f t="shared" si="3"/>
        <v>20.733555622916036</v>
      </c>
      <c r="L10" s="28">
        <v>1456</v>
      </c>
      <c r="M10" s="50">
        <f t="shared" si="4"/>
        <v>14.711528746084673</v>
      </c>
      <c r="N10" s="36">
        <v>1463</v>
      </c>
      <c r="O10" s="50">
        <f t="shared" si="4"/>
        <v>14.782257249671618</v>
      </c>
      <c r="P10" s="28">
        <v>906</v>
      </c>
      <c r="Q10" s="50">
        <f t="shared" si="5"/>
        <v>9.1542891785389511</v>
      </c>
      <c r="R10" s="27">
        <f>F10+H10+J10+L10+N10+P10</f>
        <v>9897</v>
      </c>
      <c r="S10" s="50">
        <f t="shared" si="6"/>
        <v>96.490201813395728</v>
      </c>
      <c r="T10" s="28">
        <f>D10-R10</f>
        <v>360</v>
      </c>
      <c r="U10" s="50">
        <f t="shared" si="7"/>
        <v>3.5097981866042702</v>
      </c>
      <c r="V10" s="28">
        <f>C10-D10</f>
        <v>8324</v>
      </c>
      <c r="W10" s="51">
        <f t="shared" si="8"/>
        <v>44.798450029600126</v>
      </c>
    </row>
    <row r="11" spans="1:23" ht="50.25" customHeight="1">
      <c r="A11" s="103" t="s">
        <v>19</v>
      </c>
      <c r="B11" s="104">
        <v>3</v>
      </c>
      <c r="C11" s="95">
        <v>6791</v>
      </c>
      <c r="D11" s="96">
        <v>3870</v>
      </c>
      <c r="E11" s="97">
        <f t="shared" si="0"/>
        <v>56.987188926520396</v>
      </c>
      <c r="F11" s="96">
        <v>638</v>
      </c>
      <c r="G11" s="97">
        <f t="shared" si="1"/>
        <v>16.936554287231218</v>
      </c>
      <c r="H11" s="96">
        <v>510</v>
      </c>
      <c r="I11" s="97">
        <f t="shared" si="2"/>
        <v>13.538624900451287</v>
      </c>
      <c r="J11" s="96">
        <v>1271</v>
      </c>
      <c r="K11" s="97">
        <f t="shared" si="3"/>
        <v>33.740376957791348</v>
      </c>
      <c r="L11" s="96">
        <v>534</v>
      </c>
      <c r="M11" s="97">
        <f t="shared" si="4"/>
        <v>14.175736660472523</v>
      </c>
      <c r="N11" s="115">
        <v>506</v>
      </c>
      <c r="O11" s="97">
        <f t="shared" si="4"/>
        <v>13.432439607114416</v>
      </c>
      <c r="P11" s="96">
        <v>308</v>
      </c>
      <c r="Q11" s="97">
        <f t="shared" si="5"/>
        <v>8.1762675869392094</v>
      </c>
      <c r="R11" s="108">
        <f>F11+H11+J11+L11+N11+P11</f>
        <v>3767</v>
      </c>
      <c r="S11" s="97">
        <f t="shared" si="6"/>
        <v>97.338501291989672</v>
      </c>
      <c r="T11" s="96">
        <f>D11-R11</f>
        <v>103</v>
      </c>
      <c r="U11" s="97">
        <f t="shared" si="7"/>
        <v>2.6614987080103356</v>
      </c>
      <c r="V11" s="96">
        <f>C11-D11</f>
        <v>2921</v>
      </c>
      <c r="W11" s="98">
        <f t="shared" si="8"/>
        <v>43.012811073479604</v>
      </c>
    </row>
    <row r="12" spans="1:23" ht="50.25" customHeight="1">
      <c r="A12" s="141" t="s">
        <v>42</v>
      </c>
      <c r="B12" s="142"/>
      <c r="C12" s="99">
        <v>0</v>
      </c>
      <c r="D12" s="100">
        <v>19</v>
      </c>
      <c r="E12" s="101">
        <f>D12/D6*100</f>
        <v>0.10744783125035345</v>
      </c>
      <c r="F12" s="100">
        <v>2</v>
      </c>
      <c r="G12" s="101">
        <f t="shared" si="1"/>
        <v>11.76470588235294</v>
      </c>
      <c r="H12" s="100">
        <v>3</v>
      </c>
      <c r="I12" s="101">
        <f t="shared" si="2"/>
        <v>17.647058823529413</v>
      </c>
      <c r="J12" s="100">
        <v>7</v>
      </c>
      <c r="K12" s="101">
        <f t="shared" si="3"/>
        <v>41.17647058823529</v>
      </c>
      <c r="L12" s="100">
        <v>3</v>
      </c>
      <c r="M12" s="101">
        <f t="shared" si="4"/>
        <v>17.647058823529413</v>
      </c>
      <c r="N12" s="116">
        <v>2</v>
      </c>
      <c r="O12" s="101">
        <f t="shared" si="4"/>
        <v>11.76470588235294</v>
      </c>
      <c r="P12" s="100"/>
      <c r="Q12" s="101">
        <f t="shared" si="5"/>
        <v>0</v>
      </c>
      <c r="R12" s="113">
        <f>F12+H12+J12+L12+N12+P12</f>
        <v>17</v>
      </c>
      <c r="S12" s="101">
        <f t="shared" si="6"/>
        <v>89.473684210526315</v>
      </c>
      <c r="T12" s="100">
        <f>D12-R12</f>
        <v>2</v>
      </c>
      <c r="U12" s="101">
        <f t="shared" si="7"/>
        <v>10.526315789473683</v>
      </c>
      <c r="V12" s="100">
        <v>-19</v>
      </c>
      <c r="W12" s="102"/>
    </row>
    <row r="13" spans="1:23" s="5" customFormat="1" ht="17.25" customHeight="1">
      <c r="A13" s="23"/>
      <c r="B13" s="6"/>
      <c r="C13" s="6"/>
      <c r="D13" s="6"/>
      <c r="E13" s="32"/>
      <c r="F13" s="6"/>
      <c r="G13" s="32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5" customFormat="1">
      <c r="A14" s="23"/>
      <c r="B14" s="6"/>
      <c r="C14" s="6"/>
      <c r="D14" s="6"/>
      <c r="E14" s="32"/>
      <c r="F14" s="6"/>
      <c r="G14" s="32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s="5" customFormat="1">
      <c r="A15" s="8"/>
      <c r="B15" s="6"/>
      <c r="C15" s="6"/>
      <c r="D15" s="6"/>
      <c r="E15" s="32"/>
      <c r="F15" s="6"/>
      <c r="G15" s="32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5" customFormat="1">
      <c r="A16" s="8"/>
      <c r="B16" s="6"/>
      <c r="C16" s="6"/>
      <c r="D16" s="6"/>
      <c r="E16" s="32"/>
      <c r="F16" s="6"/>
      <c r="G16" s="32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5" customFormat="1">
      <c r="A17" s="8"/>
      <c r="B17" s="6"/>
      <c r="C17" s="6"/>
      <c r="D17" s="6"/>
      <c r="E17" s="32"/>
      <c r="F17" s="6"/>
      <c r="G17" s="32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5" customFormat="1">
      <c r="A18" s="8"/>
      <c r="B18" s="6"/>
      <c r="C18" s="6"/>
      <c r="D18" s="6"/>
      <c r="E18" s="32"/>
      <c r="F18" s="6"/>
      <c r="G18" s="32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s="5" customFormat="1">
      <c r="A19" s="8"/>
      <c r="B19" s="6"/>
      <c r="C19" s="6"/>
      <c r="D19" s="6"/>
      <c r="E19" s="32"/>
      <c r="F19" s="6"/>
      <c r="G19" s="32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5" customFormat="1">
      <c r="A20" s="8"/>
      <c r="B20" s="6"/>
      <c r="C20" s="6"/>
      <c r="D20" s="6"/>
      <c r="E20" s="32"/>
      <c r="F20" s="6"/>
      <c r="G20" s="32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s="5" customFormat="1">
      <c r="A21" s="8"/>
      <c r="B21" s="6"/>
      <c r="C21" s="6"/>
      <c r="D21" s="6"/>
      <c r="E21" s="32"/>
      <c r="F21" s="6"/>
      <c r="G21" s="32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5" customFormat="1">
      <c r="A22" s="8"/>
      <c r="B22" s="6"/>
      <c r="C22" s="6"/>
      <c r="D22" s="6"/>
      <c r="E22" s="32"/>
      <c r="F22" s="6"/>
      <c r="G22" s="32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s="5" customFormat="1">
      <c r="A23" s="8"/>
      <c r="B23" s="6"/>
      <c r="C23" s="6"/>
      <c r="D23" s="6"/>
      <c r="E23" s="32"/>
      <c r="F23" s="6"/>
      <c r="G23" s="32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s="5" customFormat="1">
      <c r="A24" s="8"/>
      <c r="B24" s="6"/>
      <c r="C24" s="6"/>
      <c r="D24" s="6"/>
      <c r="E24" s="32"/>
      <c r="F24" s="6"/>
      <c r="G24" s="32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s="5" customFormat="1">
      <c r="A25" s="8"/>
      <c r="B25" s="6"/>
      <c r="C25" s="6"/>
      <c r="D25" s="6"/>
      <c r="E25" s="32"/>
      <c r="F25" s="6"/>
      <c r="G25" s="32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5" customFormat="1">
      <c r="A26" s="8"/>
      <c r="B26" s="6"/>
      <c r="C26" s="6"/>
      <c r="D26" s="6"/>
      <c r="E26" s="32"/>
      <c r="F26" s="6"/>
      <c r="G26" s="32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s="5" customFormat="1">
      <c r="A27" s="8"/>
      <c r="B27" s="6"/>
      <c r="C27" s="6"/>
      <c r="D27" s="6"/>
      <c r="E27" s="32"/>
      <c r="F27" s="6"/>
      <c r="G27" s="32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5" customFormat="1">
      <c r="A28" s="8"/>
      <c r="B28" s="6"/>
      <c r="C28" s="6"/>
      <c r="D28" s="6"/>
      <c r="E28" s="32"/>
      <c r="F28" s="6"/>
      <c r="G28" s="32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s="5" customFormat="1">
      <c r="A29" s="8"/>
      <c r="B29" s="6"/>
      <c r="C29" s="6"/>
      <c r="D29" s="6"/>
      <c r="E29" s="32"/>
      <c r="F29" s="6"/>
      <c r="G29" s="32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5" customFormat="1">
      <c r="A30" s="8"/>
      <c r="B30" s="6"/>
      <c r="C30" s="6"/>
      <c r="D30" s="6"/>
      <c r="E30" s="32"/>
      <c r="F30" s="6"/>
      <c r="G30" s="32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s="5" customFormat="1">
      <c r="A31" s="8"/>
      <c r="B31" s="6"/>
      <c r="C31" s="6"/>
      <c r="D31" s="6"/>
      <c r="E31" s="32"/>
      <c r="F31" s="6"/>
      <c r="G31" s="32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5" customFormat="1">
      <c r="A32" s="8"/>
      <c r="B32" s="6"/>
      <c r="C32" s="6"/>
      <c r="D32" s="6"/>
      <c r="E32" s="32"/>
      <c r="F32" s="6"/>
      <c r="G32" s="32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s="5" customFormat="1">
      <c r="A33" s="8"/>
      <c r="B33" s="6"/>
      <c r="C33" s="6"/>
      <c r="D33" s="6"/>
      <c r="E33" s="32"/>
      <c r="F33" s="6"/>
      <c r="G33" s="32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5" customFormat="1">
      <c r="A34" s="8"/>
      <c r="B34" s="6"/>
      <c r="C34" s="6"/>
      <c r="D34" s="6"/>
      <c r="E34" s="32"/>
      <c r="F34" s="6"/>
      <c r="G34" s="32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s="3" customFormat="1">
      <c r="A35" s="9"/>
      <c r="B35" s="7"/>
      <c r="C35" s="7"/>
      <c r="D35" s="7"/>
      <c r="E35" s="33"/>
      <c r="F35" s="7"/>
      <c r="G35" s="33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s="3" customFormat="1">
      <c r="A36" s="9"/>
      <c r="B36" s="7"/>
      <c r="C36" s="7"/>
      <c r="D36" s="7"/>
      <c r="E36" s="33"/>
      <c r="F36" s="7"/>
      <c r="G36" s="33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s="3" customFormat="1">
      <c r="A37" s="9"/>
      <c r="B37" s="7"/>
      <c r="C37" s="7"/>
      <c r="D37" s="7"/>
      <c r="E37" s="33"/>
      <c r="F37" s="7"/>
      <c r="G37" s="33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s="3" customFormat="1">
      <c r="A38" s="9"/>
      <c r="B38" s="7"/>
      <c r="C38" s="7"/>
      <c r="D38" s="7"/>
      <c r="E38" s="33"/>
      <c r="F38" s="7"/>
      <c r="G38" s="33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s="3" customFormat="1">
      <c r="A39" s="9"/>
      <c r="B39" s="7"/>
      <c r="C39" s="7"/>
      <c r="D39" s="7"/>
      <c r="E39" s="33"/>
      <c r="F39" s="7"/>
      <c r="G39" s="33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s="3" customFormat="1">
      <c r="A40" s="9"/>
      <c r="B40" s="7"/>
      <c r="C40" s="7"/>
      <c r="D40" s="7"/>
      <c r="E40" s="33"/>
      <c r="F40" s="7"/>
      <c r="G40" s="33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>
      <c r="A41" s="2"/>
    </row>
    <row r="42" spans="1:23">
      <c r="A42" s="2"/>
    </row>
    <row r="43" spans="1:23">
      <c r="A43" s="2"/>
    </row>
    <row r="44" spans="1:23">
      <c r="A44" s="2"/>
    </row>
    <row r="45" spans="1:23">
      <c r="A45" s="2"/>
    </row>
    <row r="46" spans="1:23">
      <c r="A46" s="2"/>
    </row>
    <row r="47" spans="1:23">
      <c r="A47" s="2"/>
    </row>
    <row r="48" spans="1:23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sheetProtection password="CA6A" sheet="1"/>
  <mergeCells count="16">
    <mergeCell ref="R4:S4"/>
    <mergeCell ref="F3:S3"/>
    <mergeCell ref="A1:W1"/>
    <mergeCell ref="T3:U4"/>
    <mergeCell ref="L4:M4"/>
    <mergeCell ref="V3:W4"/>
    <mergeCell ref="H4:I4"/>
    <mergeCell ref="J4:K4"/>
    <mergeCell ref="P4:Q4"/>
    <mergeCell ref="A3:A5"/>
    <mergeCell ref="F4:G4"/>
    <mergeCell ref="D3:E4"/>
    <mergeCell ref="B3:B5"/>
    <mergeCell ref="C3:C5"/>
    <mergeCell ref="A12:B12"/>
    <mergeCell ref="N4:O4"/>
  </mergeCells>
  <phoneticPr fontId="2" type="noConversion"/>
  <printOptions horizontalCentered="1"/>
  <pageMargins left="0.43" right="0.28000000000000003" top="0.77" bottom="0.23" header="0.28999999999999998" footer="0.16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V56"/>
  <sheetViews>
    <sheetView zoomScaleSheetLayoutView="70" workbookViewId="0">
      <pane xSplit="2" ySplit="5" topLeftCell="C6" activePane="bottomRight" state="frozen"/>
      <selection activeCell="C27" sqref="C27"/>
      <selection pane="topRight" activeCell="C27" sqref="C27"/>
      <selection pane="bottomLeft" activeCell="C27" sqref="C27"/>
      <selection pane="bottomRight" activeCell="C27" sqref="C27"/>
    </sheetView>
  </sheetViews>
  <sheetFormatPr defaultRowHeight="13.5"/>
  <cols>
    <col min="1" max="1" width="8.109375" style="1" customWidth="1"/>
    <col min="2" max="2" width="6.88671875" style="4" customWidth="1"/>
    <col min="3" max="4" width="8.109375" style="4" customWidth="1"/>
    <col min="5" max="5" width="7.6640625" style="31" customWidth="1"/>
    <col min="6" max="6" width="8.109375" style="4" customWidth="1"/>
    <col min="7" max="7" width="7.6640625" style="31" customWidth="1"/>
    <col min="8" max="8" width="8.109375" style="4" customWidth="1"/>
    <col min="9" max="9" width="7.6640625" style="4" customWidth="1"/>
    <col min="10" max="10" width="8.109375" style="4" customWidth="1"/>
    <col min="11" max="11" width="7.6640625" style="4" customWidth="1"/>
    <col min="12" max="12" width="8.109375" style="4" customWidth="1"/>
    <col min="13" max="13" width="7.6640625" style="4" customWidth="1"/>
    <col min="14" max="14" width="8.109375" style="4" customWidth="1"/>
    <col min="15" max="15" width="7.6640625" style="4" customWidth="1"/>
    <col min="16" max="16" width="8.109375" style="4" customWidth="1"/>
    <col min="17" max="17" width="7.6640625" style="4" customWidth="1"/>
    <col min="18" max="18" width="8.44140625" style="86" customWidth="1"/>
    <col min="19" max="16384" width="8.88671875" style="86"/>
  </cols>
  <sheetData>
    <row r="1" spans="1:256" ht="33" customHeight="1">
      <c r="A1" s="146" t="s">
        <v>52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256" ht="16.5">
      <c r="A2" s="42"/>
      <c r="Q2" s="24" t="s">
        <v>69</v>
      </c>
    </row>
    <row r="3" spans="1:256" s="62" customFormat="1" ht="19.149999999999999" customHeight="1">
      <c r="A3" s="126" t="s">
        <v>90</v>
      </c>
      <c r="B3" s="135" t="s">
        <v>113</v>
      </c>
      <c r="C3" s="138" t="s">
        <v>114</v>
      </c>
      <c r="D3" s="131" t="s">
        <v>115</v>
      </c>
      <c r="E3" s="132"/>
      <c r="F3" s="143" t="s">
        <v>116</v>
      </c>
      <c r="G3" s="144"/>
      <c r="H3" s="144"/>
      <c r="I3" s="144"/>
      <c r="J3" s="144"/>
      <c r="K3" s="144"/>
      <c r="L3" s="144"/>
      <c r="M3" s="145"/>
      <c r="N3" s="131" t="s">
        <v>117</v>
      </c>
      <c r="O3" s="132"/>
      <c r="P3" s="131" t="s">
        <v>118</v>
      </c>
      <c r="Q3" s="147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</row>
    <row r="4" spans="1:256" s="62" customFormat="1" ht="19.149999999999999" customHeight="1">
      <c r="A4" s="127"/>
      <c r="B4" s="136"/>
      <c r="C4" s="139"/>
      <c r="D4" s="133"/>
      <c r="E4" s="134"/>
      <c r="F4" s="129" t="s">
        <v>127</v>
      </c>
      <c r="G4" s="130"/>
      <c r="H4" s="129" t="s">
        <v>128</v>
      </c>
      <c r="I4" s="130"/>
      <c r="J4" s="129" t="s">
        <v>133</v>
      </c>
      <c r="K4" s="130"/>
      <c r="L4" s="129" t="s">
        <v>125</v>
      </c>
      <c r="M4" s="130"/>
      <c r="N4" s="133"/>
      <c r="O4" s="134"/>
      <c r="P4" s="133"/>
      <c r="Q4" s="148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</row>
    <row r="5" spans="1:256" s="62" customFormat="1" ht="19.149999999999999" customHeight="1">
      <c r="A5" s="128"/>
      <c r="B5" s="137"/>
      <c r="C5" s="140"/>
      <c r="D5" s="73"/>
      <c r="E5" s="74" t="s">
        <v>126</v>
      </c>
      <c r="F5" s="40" t="s">
        <v>134</v>
      </c>
      <c r="G5" s="74" t="s">
        <v>126</v>
      </c>
      <c r="H5" s="40" t="s">
        <v>135</v>
      </c>
      <c r="I5" s="75" t="s">
        <v>126</v>
      </c>
      <c r="J5" s="40" t="s">
        <v>136</v>
      </c>
      <c r="K5" s="75" t="s">
        <v>126</v>
      </c>
      <c r="L5" s="73"/>
      <c r="M5" s="75" t="s">
        <v>126</v>
      </c>
      <c r="N5" s="73"/>
      <c r="O5" s="75" t="s">
        <v>126</v>
      </c>
      <c r="P5" s="73"/>
      <c r="Q5" s="76" t="s">
        <v>126</v>
      </c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</row>
    <row r="6" spans="1:256" s="62" customFormat="1" ht="39" customHeight="1">
      <c r="A6" s="58" t="s">
        <v>91</v>
      </c>
      <c r="B6" s="59">
        <f>SUM(B7,B9)</f>
        <v>10</v>
      </c>
      <c r="C6" s="30">
        <f>SUM(C7:C9)</f>
        <v>15650</v>
      </c>
      <c r="D6" s="30">
        <f>SUM(D7:D9)</f>
        <v>10740</v>
      </c>
      <c r="E6" s="60">
        <f t="shared" ref="E6:E14" si="0">D6/C6*100</f>
        <v>68.626198083067095</v>
      </c>
      <c r="F6" s="30">
        <f>SUM(F7:F9)</f>
        <v>4195</v>
      </c>
      <c r="G6" s="60">
        <f t="shared" ref="G6:G15" si="1">F6/$L6*100</f>
        <v>40.9707979294853</v>
      </c>
      <c r="H6" s="30">
        <f>SUM(H7:H9)</f>
        <v>2980</v>
      </c>
      <c r="I6" s="60">
        <f t="shared" ref="I6:I15" si="2">H6/$L6*100</f>
        <v>29.104404727024125</v>
      </c>
      <c r="J6" s="30">
        <f>SUM(J7:J9)</f>
        <v>3064</v>
      </c>
      <c r="K6" s="60">
        <f t="shared" ref="K6:K15" si="3">J6/$L6*100</f>
        <v>29.924797343490578</v>
      </c>
      <c r="L6" s="30">
        <f>SUM(L7:L9)</f>
        <v>10239</v>
      </c>
      <c r="M6" s="60">
        <f t="shared" ref="M6:M15" si="4">L6/$D6*100</f>
        <v>95.335195530726253</v>
      </c>
      <c r="N6" s="30">
        <f>SUM(N7:N9)</f>
        <v>501</v>
      </c>
      <c r="O6" s="60">
        <f t="shared" ref="O6:O15" si="5">N6/$D6*100</f>
        <v>4.6648044692737427</v>
      </c>
      <c r="P6" s="30">
        <f>SUM(P7:P9)</f>
        <v>4910</v>
      </c>
      <c r="Q6" s="61">
        <f t="shared" ref="Q6:Q14" si="6">P6/$C6*100</f>
        <v>31.373801916932909</v>
      </c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</row>
    <row r="7" spans="1:256" s="62" customFormat="1" ht="39" customHeight="1">
      <c r="A7" s="63" t="s">
        <v>92</v>
      </c>
      <c r="B7" s="66"/>
      <c r="C7" s="64">
        <v>2258</v>
      </c>
      <c r="D7" s="64">
        <v>2251</v>
      </c>
      <c r="E7" s="50">
        <f t="shared" si="0"/>
        <v>99.689991142604072</v>
      </c>
      <c r="F7" s="64">
        <v>893</v>
      </c>
      <c r="G7" s="50">
        <f t="shared" si="1"/>
        <v>41.304347826086953</v>
      </c>
      <c r="H7" s="64">
        <v>547</v>
      </c>
      <c r="I7" s="50">
        <f t="shared" si="2"/>
        <v>25.30064754856614</v>
      </c>
      <c r="J7" s="64">
        <v>722</v>
      </c>
      <c r="K7" s="50">
        <f t="shared" si="3"/>
        <v>33.3950046253469</v>
      </c>
      <c r="L7" s="64">
        <f>F7+H7+J7</f>
        <v>2162</v>
      </c>
      <c r="M7" s="50">
        <f t="shared" si="4"/>
        <v>96.046201688138609</v>
      </c>
      <c r="N7" s="64">
        <v>89</v>
      </c>
      <c r="O7" s="50">
        <f t="shared" si="5"/>
        <v>3.9537983118613953</v>
      </c>
      <c r="P7" s="65">
        <v>7</v>
      </c>
      <c r="Q7" s="51">
        <f t="shared" si="6"/>
        <v>0.3100088573959256</v>
      </c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</row>
    <row r="8" spans="1:256" s="62" customFormat="1" ht="39" customHeight="1">
      <c r="A8" s="63" t="s">
        <v>93</v>
      </c>
      <c r="B8" s="66"/>
      <c r="C8" s="64">
        <v>109</v>
      </c>
      <c r="D8" s="64">
        <v>102</v>
      </c>
      <c r="E8" s="50">
        <f t="shared" si="0"/>
        <v>93.577981651376149</v>
      </c>
      <c r="F8" s="64">
        <v>32</v>
      </c>
      <c r="G8" s="50">
        <f t="shared" si="1"/>
        <v>35.955056179775283</v>
      </c>
      <c r="H8" s="64">
        <v>34</v>
      </c>
      <c r="I8" s="50">
        <f t="shared" si="2"/>
        <v>38.202247191011232</v>
      </c>
      <c r="J8" s="64">
        <v>23</v>
      </c>
      <c r="K8" s="50">
        <f t="shared" si="3"/>
        <v>25.842696629213485</v>
      </c>
      <c r="L8" s="64">
        <f>F8+H8+J8</f>
        <v>89</v>
      </c>
      <c r="M8" s="50">
        <f>L8/$D8*100</f>
        <v>87.254901960784309</v>
      </c>
      <c r="N8" s="64">
        <f>D8-L8</f>
        <v>13</v>
      </c>
      <c r="O8" s="50">
        <f>N8/$D8*100</f>
        <v>12.745098039215685</v>
      </c>
      <c r="P8" s="65">
        <f>C8-D8</f>
        <v>7</v>
      </c>
      <c r="Q8" s="51">
        <f>P8/$C8*100</f>
        <v>6.4220183486238538</v>
      </c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</row>
    <row r="9" spans="1:256" s="67" customFormat="1" ht="39" customHeight="1">
      <c r="A9" s="58" t="s">
        <v>94</v>
      </c>
      <c r="B9" s="59">
        <f>SUM(B10:B14)</f>
        <v>10</v>
      </c>
      <c r="C9" s="30">
        <f>SUM(C10:C14)</f>
        <v>13283</v>
      </c>
      <c r="D9" s="30">
        <f>SUM(D10:D15)</f>
        <v>8387</v>
      </c>
      <c r="E9" s="60">
        <f t="shared" si="0"/>
        <v>63.1408567341715</v>
      </c>
      <c r="F9" s="30">
        <f>SUM(F10:F15)</f>
        <v>3270</v>
      </c>
      <c r="G9" s="60">
        <f t="shared" si="1"/>
        <v>40.936404606910365</v>
      </c>
      <c r="H9" s="30">
        <f>SUM(H10:H15)</f>
        <v>2399</v>
      </c>
      <c r="I9" s="60">
        <f t="shared" si="2"/>
        <v>30.032548823234851</v>
      </c>
      <c r="J9" s="30">
        <f>SUM(J10:J15)</f>
        <v>2319</v>
      </c>
      <c r="K9" s="60">
        <f t="shared" si="3"/>
        <v>29.031046569854784</v>
      </c>
      <c r="L9" s="30">
        <f>SUM(L10:L15)</f>
        <v>7988</v>
      </c>
      <c r="M9" s="60">
        <f t="shared" si="4"/>
        <v>95.242637415047099</v>
      </c>
      <c r="N9" s="30">
        <f>SUM(N10:N15)</f>
        <v>399</v>
      </c>
      <c r="O9" s="60">
        <f t="shared" si="5"/>
        <v>4.7573625849529035</v>
      </c>
      <c r="P9" s="30">
        <f>SUM(P10:P15)</f>
        <v>4896</v>
      </c>
      <c r="Q9" s="61">
        <f t="shared" si="6"/>
        <v>36.8591432658285</v>
      </c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</row>
    <row r="10" spans="1:256" s="62" customFormat="1" ht="39" customHeight="1">
      <c r="A10" s="63" t="s">
        <v>99</v>
      </c>
      <c r="B10" s="68">
        <v>1</v>
      </c>
      <c r="C10" s="49">
        <v>1807</v>
      </c>
      <c r="D10" s="28">
        <v>1136</v>
      </c>
      <c r="E10" s="50">
        <f t="shared" si="0"/>
        <v>62.866629773104599</v>
      </c>
      <c r="F10" s="28">
        <v>555</v>
      </c>
      <c r="G10" s="50">
        <f t="shared" si="1"/>
        <v>51.152073732718897</v>
      </c>
      <c r="H10" s="28">
        <v>218</v>
      </c>
      <c r="I10" s="50">
        <f t="shared" si="2"/>
        <v>20.092165898617512</v>
      </c>
      <c r="J10" s="28">
        <v>312</v>
      </c>
      <c r="K10" s="50">
        <f t="shared" si="3"/>
        <v>28.755760368663598</v>
      </c>
      <c r="L10" s="28">
        <f t="shared" ref="L10:L15" si="7">F10+H10+J10</f>
        <v>1085</v>
      </c>
      <c r="M10" s="50">
        <f t="shared" si="4"/>
        <v>95.510563380281681</v>
      </c>
      <c r="N10" s="28">
        <f t="shared" ref="N10:N15" si="8">D10-L10</f>
        <v>51</v>
      </c>
      <c r="O10" s="50">
        <f t="shared" si="5"/>
        <v>4.48943661971831</v>
      </c>
      <c r="P10" s="28">
        <f>C10-D10</f>
        <v>671</v>
      </c>
      <c r="Q10" s="51">
        <f t="shared" si="6"/>
        <v>37.133370226895408</v>
      </c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</row>
    <row r="11" spans="1:256" s="62" customFormat="1" ht="39" customHeight="1">
      <c r="A11" s="63" t="s">
        <v>100</v>
      </c>
      <c r="B11" s="68">
        <v>2</v>
      </c>
      <c r="C11" s="49">
        <v>2329</v>
      </c>
      <c r="D11" s="28">
        <v>1469</v>
      </c>
      <c r="E11" s="50">
        <f t="shared" si="0"/>
        <v>63.074280807213398</v>
      </c>
      <c r="F11" s="28">
        <v>688</v>
      </c>
      <c r="G11" s="50">
        <f t="shared" si="1"/>
        <v>50.476889214966981</v>
      </c>
      <c r="H11" s="28">
        <v>287</v>
      </c>
      <c r="I11" s="50">
        <f t="shared" si="2"/>
        <v>21.056493030080702</v>
      </c>
      <c r="J11" s="28">
        <v>388</v>
      </c>
      <c r="K11" s="50">
        <f t="shared" si="3"/>
        <v>28.46661775495231</v>
      </c>
      <c r="L11" s="28">
        <f t="shared" si="7"/>
        <v>1363</v>
      </c>
      <c r="M11" s="50">
        <f t="shared" si="4"/>
        <v>92.784206943498987</v>
      </c>
      <c r="N11" s="28">
        <f t="shared" si="8"/>
        <v>106</v>
      </c>
      <c r="O11" s="50">
        <f t="shared" si="5"/>
        <v>7.2157930565010213</v>
      </c>
      <c r="P11" s="28">
        <f>C11-D11</f>
        <v>860</v>
      </c>
      <c r="Q11" s="51">
        <f t="shared" si="6"/>
        <v>36.925719192786602</v>
      </c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</row>
    <row r="12" spans="1:256" s="62" customFormat="1" ht="39" customHeight="1">
      <c r="A12" s="63" t="s">
        <v>101</v>
      </c>
      <c r="B12" s="68">
        <v>1</v>
      </c>
      <c r="C12" s="49">
        <v>858</v>
      </c>
      <c r="D12" s="28">
        <v>551</v>
      </c>
      <c r="E12" s="50">
        <f t="shared" si="0"/>
        <v>64.219114219114218</v>
      </c>
      <c r="F12" s="28">
        <v>162</v>
      </c>
      <c r="G12" s="50">
        <f t="shared" si="1"/>
        <v>30.508474576271187</v>
      </c>
      <c r="H12" s="28">
        <v>153</v>
      </c>
      <c r="I12" s="50">
        <f t="shared" si="2"/>
        <v>28.8135593220339</v>
      </c>
      <c r="J12" s="28">
        <v>216</v>
      </c>
      <c r="K12" s="50">
        <f t="shared" si="3"/>
        <v>40.677966101694921</v>
      </c>
      <c r="L12" s="28">
        <f t="shared" si="7"/>
        <v>531</v>
      </c>
      <c r="M12" s="50">
        <f t="shared" si="4"/>
        <v>96.370235934664251</v>
      </c>
      <c r="N12" s="28">
        <f t="shared" si="8"/>
        <v>20</v>
      </c>
      <c r="O12" s="50">
        <f t="shared" si="5"/>
        <v>3.6297640653357535</v>
      </c>
      <c r="P12" s="28">
        <f>C12-D12</f>
        <v>307</v>
      </c>
      <c r="Q12" s="51">
        <f t="shared" si="6"/>
        <v>35.780885780885782</v>
      </c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</row>
    <row r="13" spans="1:256" s="62" customFormat="1" ht="39" customHeight="1">
      <c r="A13" s="63" t="s">
        <v>102</v>
      </c>
      <c r="B13" s="68">
        <v>3</v>
      </c>
      <c r="C13" s="49">
        <v>3617</v>
      </c>
      <c r="D13" s="28">
        <v>2355</v>
      </c>
      <c r="E13" s="50">
        <f t="shared" si="0"/>
        <v>65.109206524744266</v>
      </c>
      <c r="F13" s="28">
        <v>1214</v>
      </c>
      <c r="G13" s="50">
        <f t="shared" si="1"/>
        <v>54.660063034669072</v>
      </c>
      <c r="H13" s="28">
        <v>302</v>
      </c>
      <c r="I13" s="50">
        <f t="shared" si="2"/>
        <v>13.597478613237278</v>
      </c>
      <c r="J13" s="28">
        <v>705</v>
      </c>
      <c r="K13" s="50">
        <f t="shared" si="3"/>
        <v>31.742458352093649</v>
      </c>
      <c r="L13" s="28">
        <f t="shared" si="7"/>
        <v>2221</v>
      </c>
      <c r="M13" s="50">
        <f t="shared" si="4"/>
        <v>94.309978768577494</v>
      </c>
      <c r="N13" s="28">
        <f t="shared" si="8"/>
        <v>134</v>
      </c>
      <c r="O13" s="50">
        <f t="shared" si="5"/>
        <v>5.6900212314225058</v>
      </c>
      <c r="P13" s="28">
        <f>C13-D13</f>
        <v>1262</v>
      </c>
      <c r="Q13" s="51">
        <f t="shared" si="6"/>
        <v>34.890793475255741</v>
      </c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</row>
    <row r="14" spans="1:256" s="62" customFormat="1" ht="39" customHeight="1">
      <c r="A14" s="93" t="s">
        <v>103</v>
      </c>
      <c r="B14" s="94">
        <v>3</v>
      </c>
      <c r="C14" s="95">
        <v>4672</v>
      </c>
      <c r="D14" s="96">
        <v>2864</v>
      </c>
      <c r="E14" s="97">
        <f t="shared" si="0"/>
        <v>61.301369863013697</v>
      </c>
      <c r="F14" s="96">
        <v>644</v>
      </c>
      <c r="G14" s="97">
        <f t="shared" si="1"/>
        <v>23.198847262247838</v>
      </c>
      <c r="H14" s="96">
        <v>1438</v>
      </c>
      <c r="I14" s="97">
        <f t="shared" si="2"/>
        <v>51.801152737752162</v>
      </c>
      <c r="J14" s="96">
        <v>694</v>
      </c>
      <c r="K14" s="97">
        <f t="shared" si="3"/>
        <v>25</v>
      </c>
      <c r="L14" s="96">
        <f t="shared" si="7"/>
        <v>2776</v>
      </c>
      <c r="M14" s="97">
        <f t="shared" si="4"/>
        <v>96.927374301675968</v>
      </c>
      <c r="N14" s="96">
        <f t="shared" si="8"/>
        <v>88</v>
      </c>
      <c r="O14" s="97">
        <f t="shared" si="5"/>
        <v>3.0726256983240221</v>
      </c>
      <c r="P14" s="96">
        <f>C14-D14</f>
        <v>1808</v>
      </c>
      <c r="Q14" s="98">
        <f t="shared" si="6"/>
        <v>38.698630136986303</v>
      </c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</row>
    <row r="15" spans="1:256" s="62" customFormat="1" ht="39" customHeight="1">
      <c r="A15" s="149" t="s">
        <v>111</v>
      </c>
      <c r="B15" s="150"/>
      <c r="C15" s="99"/>
      <c r="D15" s="100">
        <v>12</v>
      </c>
      <c r="E15" s="101">
        <f>D15/D6*100</f>
        <v>0.11173184357541899</v>
      </c>
      <c r="F15" s="100">
        <v>7</v>
      </c>
      <c r="G15" s="101">
        <f t="shared" si="1"/>
        <v>58.333333333333336</v>
      </c>
      <c r="H15" s="100">
        <v>1</v>
      </c>
      <c r="I15" s="101">
        <f t="shared" si="2"/>
        <v>8.3333333333333321</v>
      </c>
      <c r="J15" s="100">
        <v>4</v>
      </c>
      <c r="K15" s="101">
        <f t="shared" si="3"/>
        <v>33.333333333333329</v>
      </c>
      <c r="L15" s="100">
        <f t="shared" si="7"/>
        <v>12</v>
      </c>
      <c r="M15" s="101">
        <f t="shared" si="4"/>
        <v>100</v>
      </c>
      <c r="N15" s="100">
        <f t="shared" si="8"/>
        <v>0</v>
      </c>
      <c r="O15" s="101">
        <f t="shared" si="5"/>
        <v>0</v>
      </c>
      <c r="P15" s="100">
        <v>-12</v>
      </c>
      <c r="Q15" s="102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</row>
    <row r="16" spans="1:256" s="5" customFormat="1" ht="17.25" customHeight="1">
      <c r="A16" s="23"/>
      <c r="B16" s="6"/>
      <c r="C16" s="6"/>
      <c r="D16" s="6"/>
      <c r="E16" s="32"/>
      <c r="F16" s="6"/>
      <c r="G16" s="32"/>
      <c r="H16" s="6"/>
      <c r="I16" s="6"/>
      <c r="J16" s="6"/>
      <c r="K16" s="6"/>
      <c r="L16" s="6"/>
      <c r="M16" s="6"/>
      <c r="N16" s="6"/>
      <c r="O16" s="6"/>
      <c r="P16" s="6"/>
      <c r="Q16" s="6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</row>
    <row r="17" spans="1:256" s="5" customFormat="1">
      <c r="A17" s="23"/>
      <c r="B17" s="6"/>
      <c r="C17" s="6"/>
      <c r="D17" s="6"/>
      <c r="E17" s="32"/>
      <c r="F17" s="6"/>
      <c r="G17" s="32"/>
      <c r="H17" s="6"/>
      <c r="I17" s="6"/>
      <c r="J17" s="6"/>
      <c r="K17" s="6"/>
      <c r="L17" s="6"/>
      <c r="M17" s="6"/>
      <c r="N17" s="6"/>
      <c r="O17" s="6"/>
      <c r="P17" s="6"/>
      <c r="Q17" s="6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</row>
    <row r="18" spans="1:256" s="5" customFormat="1">
      <c r="A18" s="8"/>
      <c r="B18" s="6"/>
      <c r="C18" s="6"/>
      <c r="D18" s="6"/>
      <c r="E18" s="32"/>
      <c r="F18" s="6"/>
      <c r="G18" s="32"/>
      <c r="H18" s="6"/>
      <c r="I18" s="6"/>
      <c r="J18" s="6"/>
      <c r="K18" s="6"/>
      <c r="L18" s="6"/>
      <c r="M18" s="6"/>
      <c r="N18" s="6"/>
      <c r="O18" s="6"/>
      <c r="P18" s="6"/>
      <c r="Q18" s="6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</row>
    <row r="19" spans="1:256" s="5" customFormat="1">
      <c r="A19" s="8"/>
      <c r="B19" s="6"/>
      <c r="C19" s="6"/>
      <c r="D19" s="6"/>
      <c r="E19" s="32"/>
      <c r="F19" s="6"/>
      <c r="G19" s="32"/>
      <c r="H19" s="6"/>
      <c r="I19" s="6"/>
      <c r="J19" s="6"/>
      <c r="K19" s="6"/>
      <c r="L19" s="6"/>
      <c r="M19" s="6"/>
      <c r="N19" s="6"/>
      <c r="O19" s="6"/>
      <c r="P19" s="6"/>
      <c r="Q19" s="6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</row>
    <row r="20" spans="1:256" s="5" customFormat="1">
      <c r="A20" s="8"/>
      <c r="B20" s="6"/>
      <c r="C20" s="6"/>
      <c r="D20" s="6"/>
      <c r="E20" s="32"/>
      <c r="F20" s="6"/>
      <c r="G20" s="32"/>
      <c r="H20" s="6"/>
      <c r="I20" s="6"/>
      <c r="J20" s="6"/>
      <c r="K20" s="6"/>
      <c r="L20" s="6"/>
      <c r="M20" s="6"/>
      <c r="N20" s="6"/>
      <c r="O20" s="6"/>
      <c r="P20" s="6"/>
      <c r="Q20" s="6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</row>
    <row r="21" spans="1:256" s="5" customFormat="1">
      <c r="A21" s="8"/>
      <c r="B21" s="6"/>
      <c r="C21" s="6"/>
      <c r="D21" s="6"/>
      <c r="E21" s="32"/>
      <c r="F21" s="6"/>
      <c r="G21" s="32"/>
      <c r="H21" s="6"/>
      <c r="I21" s="6"/>
      <c r="J21" s="6"/>
      <c r="K21" s="6"/>
      <c r="L21" s="6"/>
      <c r="M21" s="6"/>
      <c r="N21" s="6"/>
      <c r="O21" s="6"/>
      <c r="P21" s="6"/>
      <c r="Q21" s="6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  <c r="IS21" s="89"/>
      <c r="IT21" s="89"/>
      <c r="IU21" s="89"/>
      <c r="IV21" s="89"/>
    </row>
    <row r="22" spans="1:256" s="5" customFormat="1">
      <c r="A22" s="8"/>
      <c r="B22" s="6"/>
      <c r="C22" s="6"/>
      <c r="D22" s="6"/>
      <c r="E22" s="32"/>
      <c r="F22" s="6"/>
      <c r="G22" s="32"/>
      <c r="H22" s="6"/>
      <c r="I22" s="6"/>
      <c r="J22" s="6"/>
      <c r="K22" s="6"/>
      <c r="L22" s="6"/>
      <c r="M22" s="6"/>
      <c r="N22" s="6"/>
      <c r="O22" s="6"/>
      <c r="P22" s="6"/>
      <c r="Q22" s="6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  <c r="IR22" s="89"/>
      <c r="IS22" s="89"/>
      <c r="IT22" s="89"/>
      <c r="IU22" s="89"/>
      <c r="IV22" s="89"/>
    </row>
    <row r="23" spans="1:256" s="5" customFormat="1">
      <c r="A23" s="8"/>
      <c r="B23" s="6"/>
      <c r="C23" s="6"/>
      <c r="D23" s="6"/>
      <c r="E23" s="32"/>
      <c r="F23" s="6"/>
      <c r="G23" s="32"/>
      <c r="H23" s="6"/>
      <c r="I23" s="6"/>
      <c r="J23" s="6"/>
      <c r="K23" s="6"/>
      <c r="L23" s="6"/>
      <c r="M23" s="6"/>
      <c r="N23" s="6"/>
      <c r="O23" s="6"/>
      <c r="P23" s="6"/>
      <c r="Q23" s="6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  <c r="II23" s="89"/>
      <c r="IJ23" s="89"/>
      <c r="IK23" s="89"/>
      <c r="IL23" s="89"/>
      <c r="IM23" s="89"/>
      <c r="IN23" s="89"/>
      <c r="IO23" s="89"/>
      <c r="IP23" s="89"/>
      <c r="IQ23" s="89"/>
      <c r="IR23" s="89"/>
      <c r="IS23" s="89"/>
      <c r="IT23" s="89"/>
      <c r="IU23" s="89"/>
      <c r="IV23" s="89"/>
    </row>
    <row r="24" spans="1:256" s="5" customFormat="1">
      <c r="A24" s="8"/>
      <c r="B24" s="6"/>
      <c r="C24" s="6"/>
      <c r="D24" s="6"/>
      <c r="E24" s="32"/>
      <c r="F24" s="6"/>
      <c r="G24" s="32"/>
      <c r="H24" s="6"/>
      <c r="I24" s="6"/>
      <c r="J24" s="6"/>
      <c r="K24" s="6"/>
      <c r="L24" s="6"/>
      <c r="M24" s="6"/>
      <c r="N24" s="6"/>
      <c r="O24" s="6"/>
      <c r="P24" s="6"/>
      <c r="Q24" s="6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  <c r="EI24" s="89"/>
      <c r="EJ24" s="89"/>
      <c r="EK24" s="89"/>
      <c r="EL24" s="89"/>
      <c r="EM24" s="89"/>
      <c r="EN24" s="89"/>
      <c r="EO24" s="89"/>
      <c r="EP24" s="89"/>
      <c r="EQ24" s="89"/>
      <c r="ER24" s="89"/>
      <c r="ES24" s="89"/>
      <c r="ET24" s="89"/>
      <c r="EU24" s="89"/>
      <c r="EV24" s="89"/>
      <c r="EW24" s="89"/>
      <c r="EX24" s="89"/>
      <c r="EY24" s="89"/>
      <c r="EZ24" s="89"/>
      <c r="FA24" s="89"/>
      <c r="FB24" s="89"/>
      <c r="FC24" s="89"/>
      <c r="FD24" s="89"/>
      <c r="FE24" s="89"/>
      <c r="FF24" s="89"/>
      <c r="FG24" s="89"/>
      <c r="FH24" s="89"/>
      <c r="FI24" s="89"/>
      <c r="FJ24" s="89"/>
      <c r="FK24" s="89"/>
      <c r="FL24" s="89"/>
      <c r="FM24" s="89"/>
      <c r="FN24" s="89"/>
      <c r="FO24" s="89"/>
      <c r="FP24" s="89"/>
      <c r="FQ24" s="89"/>
      <c r="FR24" s="89"/>
      <c r="FS24" s="89"/>
      <c r="FT24" s="89"/>
      <c r="FU24" s="89"/>
      <c r="FV24" s="89"/>
      <c r="FW24" s="89"/>
      <c r="FX24" s="89"/>
      <c r="FY24" s="89"/>
      <c r="FZ24" s="89"/>
      <c r="GA24" s="89"/>
      <c r="GB24" s="89"/>
      <c r="GC24" s="89"/>
      <c r="GD24" s="89"/>
      <c r="GE24" s="89"/>
      <c r="GF24" s="89"/>
      <c r="GG24" s="89"/>
      <c r="GH24" s="89"/>
      <c r="GI24" s="89"/>
      <c r="GJ24" s="89"/>
      <c r="GK24" s="89"/>
      <c r="GL24" s="89"/>
      <c r="GM24" s="89"/>
      <c r="GN24" s="89"/>
      <c r="GO24" s="89"/>
      <c r="GP24" s="89"/>
      <c r="GQ24" s="89"/>
      <c r="GR24" s="89"/>
      <c r="GS24" s="89"/>
      <c r="GT24" s="89"/>
      <c r="GU24" s="89"/>
      <c r="GV24" s="89"/>
      <c r="GW24" s="89"/>
      <c r="GX24" s="89"/>
      <c r="GY24" s="89"/>
      <c r="GZ24" s="89"/>
      <c r="HA24" s="89"/>
      <c r="HB24" s="89"/>
      <c r="HC24" s="89"/>
      <c r="HD24" s="89"/>
      <c r="HE24" s="89"/>
      <c r="HF24" s="89"/>
      <c r="HG24" s="89"/>
      <c r="HH24" s="89"/>
      <c r="HI24" s="89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89"/>
      <c r="HU24" s="89"/>
      <c r="HV24" s="89"/>
      <c r="HW24" s="89"/>
      <c r="HX24" s="89"/>
      <c r="HY24" s="89"/>
      <c r="HZ24" s="89"/>
      <c r="IA24" s="89"/>
      <c r="IB24" s="89"/>
      <c r="IC24" s="89"/>
      <c r="ID24" s="89"/>
      <c r="IE24" s="89"/>
      <c r="IF24" s="89"/>
      <c r="IG24" s="89"/>
      <c r="IH24" s="89"/>
      <c r="II24" s="89"/>
      <c r="IJ24" s="89"/>
      <c r="IK24" s="89"/>
      <c r="IL24" s="89"/>
      <c r="IM24" s="89"/>
      <c r="IN24" s="89"/>
      <c r="IO24" s="89"/>
      <c r="IP24" s="89"/>
      <c r="IQ24" s="89"/>
      <c r="IR24" s="89"/>
      <c r="IS24" s="89"/>
      <c r="IT24" s="89"/>
      <c r="IU24" s="89"/>
      <c r="IV24" s="89"/>
    </row>
    <row r="25" spans="1:256" s="5" customFormat="1">
      <c r="A25" s="8"/>
      <c r="B25" s="6"/>
      <c r="C25" s="6"/>
      <c r="D25" s="6"/>
      <c r="E25" s="32"/>
      <c r="F25" s="6"/>
      <c r="G25" s="32"/>
      <c r="H25" s="6"/>
      <c r="I25" s="6"/>
      <c r="J25" s="6"/>
      <c r="K25" s="6"/>
      <c r="L25" s="6"/>
      <c r="M25" s="6"/>
      <c r="N25" s="6"/>
      <c r="O25" s="6"/>
      <c r="P25" s="6"/>
      <c r="Q25" s="6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89"/>
      <c r="DC25" s="89"/>
      <c r="DD25" s="89"/>
      <c r="DE25" s="89"/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89"/>
      <c r="DR25" s="89"/>
      <c r="DS25" s="89"/>
      <c r="DT25" s="89"/>
      <c r="DU25" s="89"/>
      <c r="DV25" s="89"/>
      <c r="DW25" s="89"/>
      <c r="DX25" s="89"/>
      <c r="DY25" s="89"/>
      <c r="DZ25" s="89"/>
      <c r="EA25" s="89"/>
      <c r="EB25" s="89"/>
      <c r="EC25" s="89"/>
      <c r="ED25" s="89"/>
      <c r="EE25" s="89"/>
      <c r="EF25" s="89"/>
      <c r="EG25" s="89"/>
      <c r="EH25" s="89"/>
      <c r="EI25" s="89"/>
      <c r="EJ25" s="89"/>
      <c r="EK25" s="89"/>
      <c r="EL25" s="89"/>
      <c r="EM25" s="89"/>
      <c r="EN25" s="89"/>
      <c r="EO25" s="89"/>
      <c r="EP25" s="89"/>
      <c r="EQ25" s="89"/>
      <c r="ER25" s="89"/>
      <c r="ES25" s="89"/>
      <c r="ET25" s="89"/>
      <c r="EU25" s="89"/>
      <c r="EV25" s="89"/>
      <c r="EW25" s="89"/>
      <c r="EX25" s="89"/>
      <c r="EY25" s="89"/>
      <c r="EZ25" s="89"/>
      <c r="FA25" s="89"/>
      <c r="FB25" s="89"/>
      <c r="FC25" s="89"/>
      <c r="FD25" s="89"/>
      <c r="FE25" s="89"/>
      <c r="FF25" s="89"/>
      <c r="FG25" s="89"/>
      <c r="FH25" s="89"/>
      <c r="FI25" s="89"/>
      <c r="FJ25" s="89"/>
      <c r="FK25" s="89"/>
      <c r="FL25" s="89"/>
      <c r="FM25" s="89"/>
      <c r="FN25" s="89"/>
      <c r="FO25" s="89"/>
      <c r="FP25" s="89"/>
      <c r="FQ25" s="89"/>
      <c r="FR25" s="89"/>
      <c r="FS25" s="89"/>
      <c r="FT25" s="89"/>
      <c r="FU25" s="89"/>
      <c r="FV25" s="89"/>
      <c r="FW25" s="89"/>
      <c r="FX25" s="89"/>
      <c r="FY25" s="89"/>
      <c r="FZ25" s="89"/>
      <c r="GA25" s="89"/>
      <c r="GB25" s="89"/>
      <c r="GC25" s="89"/>
      <c r="GD25" s="89"/>
      <c r="GE25" s="89"/>
      <c r="GF25" s="89"/>
      <c r="GG25" s="89"/>
      <c r="GH25" s="89"/>
      <c r="GI25" s="89"/>
      <c r="GJ25" s="89"/>
      <c r="GK25" s="89"/>
      <c r="GL25" s="89"/>
      <c r="GM25" s="89"/>
      <c r="GN25" s="89"/>
      <c r="GO25" s="89"/>
      <c r="GP25" s="89"/>
      <c r="GQ25" s="89"/>
      <c r="GR25" s="89"/>
      <c r="GS25" s="89"/>
      <c r="GT25" s="89"/>
      <c r="GU25" s="89"/>
      <c r="GV25" s="89"/>
      <c r="GW25" s="89"/>
      <c r="GX25" s="89"/>
      <c r="GY25" s="89"/>
      <c r="GZ25" s="89"/>
      <c r="HA25" s="89"/>
      <c r="HB25" s="89"/>
      <c r="HC25" s="89"/>
      <c r="HD25" s="89"/>
      <c r="HE25" s="89"/>
      <c r="HF25" s="89"/>
      <c r="HG25" s="89"/>
      <c r="HH25" s="89"/>
      <c r="HI25" s="89"/>
      <c r="HJ25" s="89"/>
      <c r="HK25" s="89"/>
      <c r="HL25" s="89"/>
      <c r="HM25" s="89"/>
      <c r="HN25" s="89"/>
      <c r="HO25" s="89"/>
      <c r="HP25" s="89"/>
      <c r="HQ25" s="89"/>
      <c r="HR25" s="89"/>
      <c r="HS25" s="89"/>
      <c r="HT25" s="89"/>
      <c r="HU25" s="89"/>
      <c r="HV25" s="89"/>
      <c r="HW25" s="89"/>
      <c r="HX25" s="89"/>
      <c r="HY25" s="89"/>
      <c r="HZ25" s="89"/>
      <c r="IA25" s="89"/>
      <c r="IB25" s="89"/>
      <c r="IC25" s="89"/>
      <c r="ID25" s="89"/>
      <c r="IE25" s="89"/>
      <c r="IF25" s="89"/>
      <c r="IG25" s="89"/>
      <c r="IH25" s="89"/>
      <c r="II25" s="89"/>
      <c r="IJ25" s="89"/>
      <c r="IK25" s="89"/>
      <c r="IL25" s="89"/>
      <c r="IM25" s="89"/>
      <c r="IN25" s="89"/>
      <c r="IO25" s="89"/>
      <c r="IP25" s="89"/>
      <c r="IQ25" s="89"/>
      <c r="IR25" s="89"/>
      <c r="IS25" s="89"/>
      <c r="IT25" s="89"/>
      <c r="IU25" s="89"/>
      <c r="IV25" s="89"/>
    </row>
    <row r="26" spans="1:256" s="5" customFormat="1">
      <c r="A26" s="8"/>
      <c r="B26" s="6"/>
      <c r="C26" s="6"/>
      <c r="D26" s="6"/>
      <c r="E26" s="32"/>
      <c r="F26" s="6"/>
      <c r="G26" s="32"/>
      <c r="H26" s="6"/>
      <c r="I26" s="6"/>
      <c r="J26" s="6"/>
      <c r="K26" s="6"/>
      <c r="L26" s="6"/>
      <c r="M26" s="6"/>
      <c r="N26" s="6"/>
      <c r="O26" s="6"/>
      <c r="P26" s="6"/>
      <c r="Q26" s="6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  <c r="DZ26" s="89"/>
      <c r="EA26" s="89"/>
      <c r="EB26" s="89"/>
      <c r="EC26" s="89"/>
      <c r="ED26" s="89"/>
      <c r="EE26" s="89"/>
      <c r="EF26" s="89"/>
      <c r="EG26" s="89"/>
      <c r="EH26" s="89"/>
      <c r="EI26" s="89"/>
      <c r="EJ26" s="89"/>
      <c r="EK26" s="89"/>
      <c r="EL26" s="89"/>
      <c r="EM26" s="89"/>
      <c r="EN26" s="89"/>
      <c r="EO26" s="89"/>
      <c r="EP26" s="89"/>
      <c r="EQ26" s="89"/>
      <c r="ER26" s="89"/>
      <c r="ES26" s="89"/>
      <c r="ET26" s="89"/>
      <c r="EU26" s="89"/>
      <c r="EV26" s="89"/>
      <c r="EW26" s="89"/>
      <c r="EX26" s="89"/>
      <c r="EY26" s="89"/>
      <c r="EZ26" s="89"/>
      <c r="FA26" s="89"/>
      <c r="FB26" s="89"/>
      <c r="FC26" s="89"/>
      <c r="FD26" s="89"/>
      <c r="FE26" s="89"/>
      <c r="FF26" s="89"/>
      <c r="FG26" s="89"/>
      <c r="FH26" s="89"/>
      <c r="FI26" s="89"/>
      <c r="FJ26" s="89"/>
      <c r="FK26" s="89"/>
      <c r="FL26" s="89"/>
      <c r="FM26" s="89"/>
      <c r="FN26" s="89"/>
      <c r="FO26" s="89"/>
      <c r="FP26" s="89"/>
      <c r="FQ26" s="89"/>
      <c r="FR26" s="89"/>
      <c r="FS26" s="89"/>
      <c r="FT26" s="89"/>
      <c r="FU26" s="89"/>
      <c r="FV26" s="89"/>
      <c r="FW26" s="89"/>
      <c r="FX26" s="89"/>
      <c r="FY26" s="89"/>
      <c r="FZ26" s="89"/>
      <c r="GA26" s="89"/>
      <c r="GB26" s="89"/>
      <c r="GC26" s="89"/>
      <c r="GD26" s="89"/>
      <c r="GE26" s="89"/>
      <c r="GF26" s="89"/>
      <c r="GG26" s="89"/>
      <c r="GH26" s="89"/>
      <c r="GI26" s="89"/>
      <c r="GJ26" s="89"/>
      <c r="GK26" s="89"/>
      <c r="GL26" s="89"/>
      <c r="GM26" s="89"/>
      <c r="GN26" s="89"/>
      <c r="GO26" s="89"/>
      <c r="GP26" s="89"/>
      <c r="GQ26" s="89"/>
      <c r="GR26" s="89"/>
      <c r="GS26" s="89"/>
      <c r="GT26" s="89"/>
      <c r="GU26" s="89"/>
      <c r="GV26" s="89"/>
      <c r="GW26" s="89"/>
      <c r="GX26" s="89"/>
      <c r="GY26" s="89"/>
      <c r="GZ26" s="89"/>
      <c r="HA26" s="89"/>
      <c r="HB26" s="89"/>
      <c r="HC26" s="89"/>
      <c r="HD26" s="89"/>
      <c r="HE26" s="89"/>
      <c r="HF26" s="89"/>
      <c r="HG26" s="89"/>
      <c r="HH26" s="89"/>
      <c r="HI26" s="89"/>
      <c r="HJ26" s="89"/>
      <c r="HK26" s="89"/>
      <c r="HL26" s="89"/>
      <c r="HM26" s="89"/>
      <c r="HN26" s="89"/>
      <c r="HO26" s="89"/>
      <c r="HP26" s="89"/>
      <c r="HQ26" s="89"/>
      <c r="HR26" s="89"/>
      <c r="HS26" s="89"/>
      <c r="HT26" s="89"/>
      <c r="HU26" s="89"/>
      <c r="HV26" s="89"/>
      <c r="HW26" s="89"/>
      <c r="HX26" s="89"/>
      <c r="HY26" s="89"/>
      <c r="HZ26" s="89"/>
      <c r="IA26" s="89"/>
      <c r="IB26" s="89"/>
      <c r="IC26" s="89"/>
      <c r="ID26" s="89"/>
      <c r="IE26" s="89"/>
      <c r="IF26" s="89"/>
      <c r="IG26" s="89"/>
      <c r="IH26" s="89"/>
      <c r="II26" s="89"/>
      <c r="IJ26" s="89"/>
      <c r="IK26" s="89"/>
      <c r="IL26" s="89"/>
      <c r="IM26" s="89"/>
      <c r="IN26" s="89"/>
      <c r="IO26" s="89"/>
      <c r="IP26" s="89"/>
      <c r="IQ26" s="89"/>
      <c r="IR26" s="89"/>
      <c r="IS26" s="89"/>
      <c r="IT26" s="89"/>
      <c r="IU26" s="89"/>
      <c r="IV26" s="89"/>
    </row>
    <row r="27" spans="1:256" s="5" customFormat="1">
      <c r="A27" s="8"/>
      <c r="B27" s="6"/>
      <c r="C27" s="6"/>
      <c r="D27" s="6"/>
      <c r="E27" s="32"/>
      <c r="F27" s="6"/>
      <c r="G27" s="32"/>
      <c r="H27" s="6"/>
      <c r="I27" s="6"/>
      <c r="J27" s="6"/>
      <c r="K27" s="6"/>
      <c r="L27" s="6"/>
      <c r="M27" s="6"/>
      <c r="N27" s="6"/>
      <c r="O27" s="6"/>
      <c r="P27" s="6"/>
      <c r="Q27" s="6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  <c r="EG27" s="89"/>
      <c r="EH27" s="89"/>
      <c r="EI27" s="89"/>
      <c r="EJ27" s="89"/>
      <c r="EK27" s="89"/>
      <c r="EL27" s="89"/>
      <c r="EM27" s="89"/>
      <c r="EN27" s="89"/>
      <c r="EO27" s="89"/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  <c r="FA27" s="89"/>
      <c r="FB27" s="89"/>
      <c r="FC27" s="89"/>
      <c r="FD27" s="89"/>
      <c r="FE27" s="89"/>
      <c r="FF27" s="89"/>
      <c r="FG27" s="89"/>
      <c r="FH27" s="89"/>
      <c r="FI27" s="89"/>
      <c r="FJ27" s="89"/>
      <c r="FK27" s="89"/>
      <c r="FL27" s="89"/>
      <c r="FM27" s="89"/>
      <c r="FN27" s="89"/>
      <c r="FO27" s="89"/>
      <c r="FP27" s="89"/>
      <c r="FQ27" s="89"/>
      <c r="FR27" s="89"/>
      <c r="FS27" s="89"/>
      <c r="FT27" s="89"/>
      <c r="FU27" s="89"/>
      <c r="FV27" s="89"/>
      <c r="FW27" s="89"/>
      <c r="FX27" s="89"/>
      <c r="FY27" s="89"/>
      <c r="FZ27" s="89"/>
      <c r="GA27" s="89"/>
      <c r="GB27" s="89"/>
      <c r="GC27" s="89"/>
      <c r="GD27" s="89"/>
      <c r="GE27" s="89"/>
      <c r="GF27" s="89"/>
      <c r="GG27" s="89"/>
      <c r="GH27" s="89"/>
      <c r="GI27" s="89"/>
      <c r="GJ27" s="89"/>
      <c r="GK27" s="89"/>
      <c r="GL27" s="89"/>
      <c r="GM27" s="89"/>
      <c r="GN27" s="89"/>
      <c r="GO27" s="89"/>
      <c r="GP27" s="89"/>
      <c r="GQ27" s="89"/>
      <c r="GR27" s="89"/>
      <c r="GS27" s="89"/>
      <c r="GT27" s="89"/>
      <c r="GU27" s="89"/>
      <c r="GV27" s="89"/>
      <c r="GW27" s="89"/>
      <c r="GX27" s="89"/>
      <c r="GY27" s="89"/>
      <c r="GZ27" s="89"/>
      <c r="HA27" s="89"/>
      <c r="HB27" s="89"/>
      <c r="HC27" s="89"/>
      <c r="HD27" s="89"/>
      <c r="HE27" s="89"/>
      <c r="HF27" s="89"/>
      <c r="HG27" s="89"/>
      <c r="HH27" s="89"/>
      <c r="HI27" s="89"/>
      <c r="HJ27" s="89"/>
      <c r="HK27" s="89"/>
      <c r="HL27" s="89"/>
      <c r="HM27" s="89"/>
      <c r="HN27" s="89"/>
      <c r="HO27" s="89"/>
      <c r="HP27" s="89"/>
      <c r="HQ27" s="89"/>
      <c r="HR27" s="89"/>
      <c r="HS27" s="89"/>
      <c r="HT27" s="89"/>
      <c r="HU27" s="89"/>
      <c r="HV27" s="89"/>
      <c r="HW27" s="89"/>
      <c r="HX27" s="89"/>
      <c r="HY27" s="89"/>
      <c r="HZ27" s="89"/>
      <c r="IA27" s="89"/>
      <c r="IB27" s="89"/>
      <c r="IC27" s="89"/>
      <c r="ID27" s="89"/>
      <c r="IE27" s="89"/>
      <c r="IF27" s="89"/>
      <c r="IG27" s="89"/>
      <c r="IH27" s="89"/>
      <c r="II27" s="89"/>
      <c r="IJ27" s="89"/>
      <c r="IK27" s="89"/>
      <c r="IL27" s="89"/>
      <c r="IM27" s="89"/>
      <c r="IN27" s="89"/>
      <c r="IO27" s="89"/>
      <c r="IP27" s="89"/>
      <c r="IQ27" s="89"/>
      <c r="IR27" s="89"/>
      <c r="IS27" s="89"/>
      <c r="IT27" s="89"/>
      <c r="IU27" s="89"/>
      <c r="IV27" s="89"/>
    </row>
    <row r="28" spans="1:256" s="5" customFormat="1">
      <c r="A28" s="8"/>
      <c r="B28" s="6"/>
      <c r="C28" s="6"/>
      <c r="D28" s="6"/>
      <c r="E28" s="32"/>
      <c r="F28" s="6"/>
      <c r="G28" s="32"/>
      <c r="H28" s="6"/>
      <c r="I28" s="6"/>
      <c r="J28" s="6"/>
      <c r="K28" s="6"/>
      <c r="L28" s="6"/>
      <c r="M28" s="6"/>
      <c r="N28" s="6"/>
      <c r="O28" s="6"/>
      <c r="P28" s="6"/>
      <c r="Q28" s="6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89"/>
      <c r="DW28" s="89"/>
      <c r="DX28" s="89"/>
      <c r="DY28" s="89"/>
      <c r="DZ28" s="89"/>
      <c r="EA28" s="89"/>
      <c r="EB28" s="89"/>
      <c r="EC28" s="89"/>
      <c r="ED28" s="89"/>
      <c r="EE28" s="89"/>
      <c r="EF28" s="89"/>
      <c r="EG28" s="89"/>
      <c r="EH28" s="89"/>
      <c r="EI28" s="89"/>
      <c r="EJ28" s="89"/>
      <c r="EK28" s="89"/>
      <c r="EL28" s="89"/>
      <c r="EM28" s="89"/>
      <c r="EN28" s="89"/>
      <c r="EO28" s="89"/>
      <c r="EP28" s="89"/>
      <c r="EQ28" s="89"/>
      <c r="ER28" s="89"/>
      <c r="ES28" s="89"/>
      <c r="ET28" s="89"/>
      <c r="EU28" s="89"/>
      <c r="EV28" s="89"/>
      <c r="EW28" s="89"/>
      <c r="EX28" s="89"/>
      <c r="EY28" s="89"/>
      <c r="EZ28" s="89"/>
      <c r="FA28" s="89"/>
      <c r="FB28" s="89"/>
      <c r="FC28" s="89"/>
      <c r="FD28" s="89"/>
      <c r="FE28" s="89"/>
      <c r="FF28" s="89"/>
      <c r="FG28" s="89"/>
      <c r="FH28" s="89"/>
      <c r="FI28" s="89"/>
      <c r="FJ28" s="89"/>
      <c r="FK28" s="89"/>
      <c r="FL28" s="89"/>
      <c r="FM28" s="89"/>
      <c r="FN28" s="89"/>
      <c r="FO28" s="89"/>
      <c r="FP28" s="89"/>
      <c r="FQ28" s="89"/>
      <c r="FR28" s="89"/>
      <c r="FS28" s="89"/>
      <c r="FT28" s="89"/>
      <c r="FU28" s="89"/>
      <c r="FV28" s="89"/>
      <c r="FW28" s="89"/>
      <c r="FX28" s="89"/>
      <c r="FY28" s="89"/>
      <c r="FZ28" s="89"/>
      <c r="GA28" s="89"/>
      <c r="GB28" s="89"/>
      <c r="GC28" s="89"/>
      <c r="GD28" s="89"/>
      <c r="GE28" s="89"/>
      <c r="GF28" s="89"/>
      <c r="GG28" s="89"/>
      <c r="GH28" s="89"/>
      <c r="GI28" s="89"/>
      <c r="GJ28" s="89"/>
      <c r="GK28" s="89"/>
      <c r="GL28" s="89"/>
      <c r="GM28" s="89"/>
      <c r="GN28" s="89"/>
      <c r="GO28" s="89"/>
      <c r="GP28" s="89"/>
      <c r="GQ28" s="89"/>
      <c r="GR28" s="89"/>
      <c r="GS28" s="89"/>
      <c r="GT28" s="89"/>
      <c r="GU28" s="89"/>
      <c r="GV28" s="89"/>
      <c r="GW28" s="89"/>
      <c r="GX28" s="89"/>
      <c r="GY28" s="89"/>
      <c r="GZ28" s="89"/>
      <c r="HA28" s="89"/>
      <c r="HB28" s="89"/>
      <c r="HC28" s="89"/>
      <c r="HD28" s="89"/>
      <c r="HE28" s="89"/>
      <c r="HF28" s="89"/>
      <c r="HG28" s="89"/>
      <c r="HH28" s="89"/>
      <c r="HI28" s="89"/>
      <c r="HJ28" s="89"/>
      <c r="HK28" s="89"/>
      <c r="HL28" s="89"/>
      <c r="HM28" s="89"/>
      <c r="HN28" s="89"/>
      <c r="HO28" s="89"/>
      <c r="HP28" s="89"/>
      <c r="HQ28" s="89"/>
      <c r="HR28" s="89"/>
      <c r="HS28" s="89"/>
      <c r="HT28" s="89"/>
      <c r="HU28" s="89"/>
      <c r="HV28" s="89"/>
      <c r="HW28" s="89"/>
      <c r="HX28" s="89"/>
      <c r="HY28" s="89"/>
      <c r="HZ28" s="89"/>
      <c r="IA28" s="89"/>
      <c r="IB28" s="89"/>
      <c r="IC28" s="89"/>
      <c r="ID28" s="89"/>
      <c r="IE28" s="89"/>
      <c r="IF28" s="89"/>
      <c r="IG28" s="89"/>
      <c r="IH28" s="89"/>
      <c r="II28" s="89"/>
      <c r="IJ28" s="89"/>
      <c r="IK28" s="89"/>
      <c r="IL28" s="89"/>
      <c r="IM28" s="89"/>
      <c r="IN28" s="89"/>
      <c r="IO28" s="89"/>
      <c r="IP28" s="89"/>
      <c r="IQ28" s="89"/>
      <c r="IR28" s="89"/>
      <c r="IS28" s="89"/>
      <c r="IT28" s="89"/>
      <c r="IU28" s="89"/>
      <c r="IV28" s="89"/>
    </row>
    <row r="29" spans="1:256" s="5" customFormat="1">
      <c r="A29" s="8"/>
      <c r="B29" s="6"/>
      <c r="C29" s="6"/>
      <c r="D29" s="6"/>
      <c r="E29" s="32"/>
      <c r="F29" s="6"/>
      <c r="G29" s="32"/>
      <c r="H29" s="6"/>
      <c r="I29" s="6"/>
      <c r="J29" s="6"/>
      <c r="K29" s="6"/>
      <c r="L29" s="6"/>
      <c r="M29" s="6"/>
      <c r="N29" s="6"/>
      <c r="O29" s="6"/>
      <c r="P29" s="6"/>
      <c r="Q29" s="6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  <c r="EI29" s="89"/>
      <c r="EJ29" s="89"/>
      <c r="EK29" s="89"/>
      <c r="EL29" s="89"/>
      <c r="EM29" s="89"/>
      <c r="EN29" s="89"/>
      <c r="EO29" s="89"/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  <c r="FA29" s="89"/>
      <c r="FB29" s="89"/>
      <c r="FC29" s="89"/>
      <c r="FD29" s="89"/>
      <c r="FE29" s="89"/>
      <c r="FF29" s="89"/>
      <c r="FG29" s="89"/>
      <c r="FH29" s="89"/>
      <c r="FI29" s="89"/>
      <c r="FJ29" s="89"/>
      <c r="FK29" s="89"/>
      <c r="FL29" s="89"/>
      <c r="FM29" s="89"/>
      <c r="FN29" s="89"/>
      <c r="FO29" s="89"/>
      <c r="FP29" s="89"/>
      <c r="FQ29" s="89"/>
      <c r="FR29" s="89"/>
      <c r="FS29" s="89"/>
      <c r="FT29" s="89"/>
      <c r="FU29" s="89"/>
      <c r="FV29" s="89"/>
      <c r="FW29" s="89"/>
      <c r="FX29" s="89"/>
      <c r="FY29" s="89"/>
      <c r="FZ29" s="89"/>
      <c r="GA29" s="89"/>
      <c r="GB29" s="89"/>
      <c r="GC29" s="89"/>
      <c r="GD29" s="89"/>
      <c r="GE29" s="89"/>
      <c r="GF29" s="89"/>
      <c r="GG29" s="89"/>
      <c r="GH29" s="89"/>
      <c r="GI29" s="89"/>
      <c r="GJ29" s="89"/>
      <c r="GK29" s="89"/>
      <c r="GL29" s="89"/>
      <c r="GM29" s="89"/>
      <c r="GN29" s="89"/>
      <c r="GO29" s="89"/>
      <c r="GP29" s="89"/>
      <c r="GQ29" s="89"/>
      <c r="GR29" s="89"/>
      <c r="GS29" s="89"/>
      <c r="GT29" s="89"/>
      <c r="GU29" s="89"/>
      <c r="GV29" s="89"/>
      <c r="GW29" s="89"/>
      <c r="GX29" s="89"/>
      <c r="GY29" s="89"/>
      <c r="GZ29" s="89"/>
      <c r="HA29" s="89"/>
      <c r="HB29" s="89"/>
      <c r="HC29" s="89"/>
      <c r="HD29" s="89"/>
      <c r="HE29" s="89"/>
      <c r="HF29" s="89"/>
      <c r="HG29" s="89"/>
      <c r="HH29" s="89"/>
      <c r="HI29" s="89"/>
      <c r="HJ29" s="89"/>
      <c r="HK29" s="89"/>
      <c r="HL29" s="89"/>
      <c r="HM29" s="89"/>
      <c r="HN29" s="89"/>
      <c r="HO29" s="89"/>
      <c r="HP29" s="89"/>
      <c r="HQ29" s="89"/>
      <c r="HR29" s="89"/>
      <c r="HS29" s="89"/>
      <c r="HT29" s="89"/>
      <c r="HU29" s="89"/>
      <c r="HV29" s="89"/>
      <c r="HW29" s="89"/>
      <c r="HX29" s="89"/>
      <c r="HY29" s="89"/>
      <c r="HZ29" s="89"/>
      <c r="IA29" s="89"/>
      <c r="IB29" s="89"/>
      <c r="IC29" s="89"/>
      <c r="ID29" s="89"/>
      <c r="IE29" s="89"/>
      <c r="IF29" s="89"/>
      <c r="IG29" s="89"/>
      <c r="IH29" s="89"/>
      <c r="II29" s="89"/>
      <c r="IJ29" s="89"/>
      <c r="IK29" s="89"/>
      <c r="IL29" s="89"/>
      <c r="IM29" s="89"/>
      <c r="IN29" s="89"/>
      <c r="IO29" s="89"/>
      <c r="IP29" s="89"/>
      <c r="IQ29" s="89"/>
      <c r="IR29" s="89"/>
      <c r="IS29" s="89"/>
      <c r="IT29" s="89"/>
      <c r="IU29" s="89"/>
      <c r="IV29" s="89"/>
    </row>
    <row r="30" spans="1:256" s="5" customFormat="1">
      <c r="A30" s="8"/>
      <c r="B30" s="6"/>
      <c r="C30" s="6"/>
      <c r="D30" s="6"/>
      <c r="E30" s="32"/>
      <c r="F30" s="6"/>
      <c r="G30" s="32"/>
      <c r="H30" s="6"/>
      <c r="I30" s="6"/>
      <c r="J30" s="6"/>
      <c r="K30" s="6"/>
      <c r="L30" s="6"/>
      <c r="M30" s="6"/>
      <c r="N30" s="6"/>
      <c r="O30" s="6"/>
      <c r="P30" s="6"/>
      <c r="Q30" s="6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  <c r="EM30" s="89"/>
      <c r="EN30" s="89"/>
      <c r="EO30" s="89"/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  <c r="FA30" s="89"/>
      <c r="FB30" s="89"/>
      <c r="FC30" s="89"/>
      <c r="FD30" s="89"/>
      <c r="FE30" s="89"/>
      <c r="FF30" s="89"/>
      <c r="FG30" s="89"/>
      <c r="FH30" s="89"/>
      <c r="FI30" s="89"/>
      <c r="FJ30" s="89"/>
      <c r="FK30" s="89"/>
      <c r="FL30" s="89"/>
      <c r="FM30" s="89"/>
      <c r="FN30" s="89"/>
      <c r="FO30" s="89"/>
      <c r="FP30" s="89"/>
      <c r="FQ30" s="89"/>
      <c r="FR30" s="89"/>
      <c r="FS30" s="89"/>
      <c r="FT30" s="89"/>
      <c r="FU30" s="89"/>
      <c r="FV30" s="89"/>
      <c r="FW30" s="89"/>
      <c r="FX30" s="89"/>
      <c r="FY30" s="89"/>
      <c r="FZ30" s="89"/>
      <c r="GA30" s="89"/>
      <c r="GB30" s="89"/>
      <c r="GC30" s="89"/>
      <c r="GD30" s="89"/>
      <c r="GE30" s="89"/>
      <c r="GF30" s="89"/>
      <c r="GG30" s="89"/>
      <c r="GH30" s="89"/>
      <c r="GI30" s="89"/>
      <c r="GJ30" s="89"/>
      <c r="GK30" s="89"/>
      <c r="GL30" s="89"/>
      <c r="GM30" s="89"/>
      <c r="GN30" s="89"/>
      <c r="GO30" s="89"/>
      <c r="GP30" s="89"/>
      <c r="GQ30" s="89"/>
      <c r="GR30" s="89"/>
      <c r="GS30" s="89"/>
      <c r="GT30" s="89"/>
      <c r="GU30" s="89"/>
      <c r="GV30" s="89"/>
      <c r="GW30" s="89"/>
      <c r="GX30" s="89"/>
      <c r="GY30" s="89"/>
      <c r="GZ30" s="89"/>
      <c r="HA30" s="89"/>
      <c r="HB30" s="89"/>
      <c r="HC30" s="89"/>
      <c r="HD30" s="89"/>
      <c r="HE30" s="89"/>
      <c r="HF30" s="89"/>
      <c r="HG30" s="89"/>
      <c r="HH30" s="89"/>
      <c r="HI30" s="89"/>
      <c r="HJ30" s="89"/>
      <c r="HK30" s="89"/>
      <c r="HL30" s="89"/>
      <c r="HM30" s="89"/>
      <c r="HN30" s="89"/>
      <c r="HO30" s="89"/>
      <c r="HP30" s="89"/>
      <c r="HQ30" s="89"/>
      <c r="HR30" s="89"/>
      <c r="HS30" s="89"/>
      <c r="HT30" s="89"/>
      <c r="HU30" s="89"/>
      <c r="HV30" s="89"/>
      <c r="HW30" s="89"/>
      <c r="HX30" s="89"/>
      <c r="HY30" s="89"/>
      <c r="HZ30" s="89"/>
      <c r="IA30" s="89"/>
      <c r="IB30" s="89"/>
      <c r="IC30" s="89"/>
      <c r="ID30" s="89"/>
      <c r="IE30" s="89"/>
      <c r="IF30" s="89"/>
      <c r="IG30" s="89"/>
      <c r="IH30" s="89"/>
      <c r="II30" s="89"/>
      <c r="IJ30" s="89"/>
      <c r="IK30" s="89"/>
      <c r="IL30" s="89"/>
      <c r="IM30" s="89"/>
      <c r="IN30" s="89"/>
      <c r="IO30" s="89"/>
      <c r="IP30" s="89"/>
      <c r="IQ30" s="89"/>
      <c r="IR30" s="89"/>
      <c r="IS30" s="89"/>
      <c r="IT30" s="89"/>
      <c r="IU30" s="89"/>
      <c r="IV30" s="89"/>
    </row>
    <row r="31" spans="1:256" s="5" customFormat="1">
      <c r="A31" s="8"/>
      <c r="B31" s="6"/>
      <c r="C31" s="6"/>
      <c r="D31" s="6"/>
      <c r="E31" s="32"/>
      <c r="F31" s="6"/>
      <c r="G31" s="32"/>
      <c r="H31" s="6"/>
      <c r="I31" s="6"/>
      <c r="J31" s="6"/>
      <c r="K31" s="6"/>
      <c r="L31" s="6"/>
      <c r="M31" s="6"/>
      <c r="N31" s="6"/>
      <c r="O31" s="6"/>
      <c r="P31" s="6"/>
      <c r="Q31" s="6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  <c r="FE31" s="89"/>
      <c r="FF31" s="89"/>
      <c r="FG31" s="89"/>
      <c r="FH31" s="89"/>
      <c r="FI31" s="89"/>
      <c r="FJ31" s="89"/>
      <c r="FK31" s="89"/>
      <c r="FL31" s="89"/>
      <c r="FM31" s="89"/>
      <c r="FN31" s="89"/>
      <c r="FO31" s="89"/>
      <c r="FP31" s="89"/>
      <c r="FQ31" s="89"/>
      <c r="FR31" s="89"/>
      <c r="FS31" s="89"/>
      <c r="FT31" s="89"/>
      <c r="FU31" s="89"/>
      <c r="FV31" s="89"/>
      <c r="FW31" s="89"/>
      <c r="FX31" s="89"/>
      <c r="FY31" s="89"/>
      <c r="FZ31" s="89"/>
      <c r="GA31" s="89"/>
      <c r="GB31" s="89"/>
      <c r="GC31" s="89"/>
      <c r="GD31" s="89"/>
      <c r="GE31" s="89"/>
      <c r="GF31" s="89"/>
      <c r="GG31" s="89"/>
      <c r="GH31" s="89"/>
      <c r="GI31" s="89"/>
      <c r="GJ31" s="89"/>
      <c r="GK31" s="89"/>
      <c r="GL31" s="89"/>
      <c r="GM31" s="89"/>
      <c r="GN31" s="89"/>
      <c r="GO31" s="89"/>
      <c r="GP31" s="89"/>
      <c r="GQ31" s="89"/>
      <c r="GR31" s="89"/>
      <c r="GS31" s="89"/>
      <c r="GT31" s="89"/>
      <c r="GU31" s="89"/>
      <c r="GV31" s="89"/>
      <c r="GW31" s="89"/>
      <c r="GX31" s="89"/>
      <c r="GY31" s="89"/>
      <c r="GZ31" s="89"/>
      <c r="HA31" s="89"/>
      <c r="HB31" s="89"/>
      <c r="HC31" s="89"/>
      <c r="HD31" s="89"/>
      <c r="HE31" s="89"/>
      <c r="HF31" s="89"/>
      <c r="HG31" s="89"/>
      <c r="HH31" s="89"/>
      <c r="HI31" s="89"/>
      <c r="HJ31" s="89"/>
      <c r="HK31" s="89"/>
      <c r="HL31" s="89"/>
      <c r="HM31" s="89"/>
      <c r="HN31" s="89"/>
      <c r="HO31" s="89"/>
      <c r="HP31" s="89"/>
      <c r="HQ31" s="89"/>
      <c r="HR31" s="89"/>
      <c r="HS31" s="89"/>
      <c r="HT31" s="89"/>
      <c r="HU31" s="89"/>
      <c r="HV31" s="89"/>
      <c r="HW31" s="89"/>
      <c r="HX31" s="89"/>
      <c r="HY31" s="89"/>
      <c r="HZ31" s="89"/>
      <c r="IA31" s="89"/>
      <c r="IB31" s="89"/>
      <c r="IC31" s="89"/>
      <c r="ID31" s="89"/>
      <c r="IE31" s="89"/>
      <c r="IF31" s="89"/>
      <c r="IG31" s="89"/>
      <c r="IH31" s="89"/>
      <c r="II31" s="89"/>
      <c r="IJ31" s="89"/>
      <c r="IK31" s="89"/>
      <c r="IL31" s="89"/>
      <c r="IM31" s="89"/>
      <c r="IN31" s="89"/>
      <c r="IO31" s="89"/>
      <c r="IP31" s="89"/>
      <c r="IQ31" s="89"/>
      <c r="IR31" s="89"/>
      <c r="IS31" s="89"/>
      <c r="IT31" s="89"/>
      <c r="IU31" s="89"/>
      <c r="IV31" s="89"/>
    </row>
    <row r="32" spans="1:256" s="5" customFormat="1">
      <c r="A32" s="8"/>
      <c r="B32" s="6"/>
      <c r="C32" s="6"/>
      <c r="D32" s="6"/>
      <c r="E32" s="32"/>
      <c r="F32" s="6"/>
      <c r="G32" s="32"/>
      <c r="H32" s="6"/>
      <c r="I32" s="6"/>
      <c r="J32" s="6"/>
      <c r="K32" s="6"/>
      <c r="L32" s="6"/>
      <c r="M32" s="6"/>
      <c r="N32" s="6"/>
      <c r="O32" s="6"/>
      <c r="P32" s="6"/>
      <c r="Q32" s="6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  <c r="FM32" s="89"/>
      <c r="FN32" s="89"/>
      <c r="FO32" s="89"/>
      <c r="FP32" s="89"/>
      <c r="FQ32" s="89"/>
      <c r="FR32" s="89"/>
      <c r="FS32" s="89"/>
      <c r="FT32" s="89"/>
      <c r="FU32" s="89"/>
      <c r="FV32" s="89"/>
      <c r="FW32" s="89"/>
      <c r="FX32" s="89"/>
      <c r="FY32" s="89"/>
      <c r="FZ32" s="89"/>
      <c r="GA32" s="89"/>
      <c r="GB32" s="89"/>
      <c r="GC32" s="89"/>
      <c r="GD32" s="89"/>
      <c r="GE32" s="89"/>
      <c r="GF32" s="89"/>
      <c r="GG32" s="89"/>
      <c r="GH32" s="89"/>
      <c r="GI32" s="89"/>
      <c r="GJ32" s="89"/>
      <c r="GK32" s="89"/>
      <c r="GL32" s="89"/>
      <c r="GM32" s="89"/>
      <c r="GN32" s="89"/>
      <c r="GO32" s="89"/>
      <c r="GP32" s="89"/>
      <c r="GQ32" s="89"/>
      <c r="GR32" s="89"/>
      <c r="GS32" s="89"/>
      <c r="GT32" s="89"/>
      <c r="GU32" s="89"/>
      <c r="GV32" s="89"/>
      <c r="GW32" s="89"/>
      <c r="GX32" s="89"/>
      <c r="GY32" s="89"/>
      <c r="GZ32" s="89"/>
      <c r="HA32" s="89"/>
      <c r="HB32" s="89"/>
      <c r="HC32" s="89"/>
      <c r="HD32" s="89"/>
      <c r="HE32" s="89"/>
      <c r="HF32" s="89"/>
      <c r="HG32" s="89"/>
      <c r="HH32" s="89"/>
      <c r="HI32" s="89"/>
      <c r="HJ32" s="89"/>
      <c r="HK32" s="89"/>
      <c r="HL32" s="89"/>
      <c r="HM32" s="89"/>
      <c r="HN32" s="89"/>
      <c r="HO32" s="89"/>
      <c r="HP32" s="89"/>
      <c r="HQ32" s="89"/>
      <c r="HR32" s="89"/>
      <c r="HS32" s="89"/>
      <c r="HT32" s="89"/>
      <c r="HU32" s="89"/>
      <c r="HV32" s="89"/>
      <c r="HW32" s="89"/>
      <c r="HX32" s="89"/>
      <c r="HY32" s="89"/>
      <c r="HZ32" s="89"/>
      <c r="IA32" s="89"/>
      <c r="IB32" s="89"/>
      <c r="IC32" s="89"/>
      <c r="ID32" s="89"/>
      <c r="IE32" s="89"/>
      <c r="IF32" s="89"/>
      <c r="IG32" s="89"/>
      <c r="IH32" s="89"/>
      <c r="II32" s="89"/>
      <c r="IJ32" s="89"/>
      <c r="IK32" s="89"/>
      <c r="IL32" s="89"/>
      <c r="IM32" s="89"/>
      <c r="IN32" s="89"/>
      <c r="IO32" s="89"/>
      <c r="IP32" s="89"/>
      <c r="IQ32" s="89"/>
      <c r="IR32" s="89"/>
      <c r="IS32" s="89"/>
      <c r="IT32" s="89"/>
      <c r="IU32" s="89"/>
      <c r="IV32" s="89"/>
    </row>
    <row r="33" spans="1:256" s="5" customFormat="1">
      <c r="A33" s="8"/>
      <c r="B33" s="6"/>
      <c r="C33" s="6"/>
      <c r="D33" s="6"/>
      <c r="E33" s="32"/>
      <c r="F33" s="6"/>
      <c r="G33" s="32"/>
      <c r="H33" s="6"/>
      <c r="I33" s="6"/>
      <c r="J33" s="6"/>
      <c r="K33" s="6"/>
      <c r="L33" s="6"/>
      <c r="M33" s="6"/>
      <c r="N33" s="6"/>
      <c r="O33" s="6"/>
      <c r="P33" s="6"/>
      <c r="Q33" s="6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89"/>
      <c r="DW33" s="89"/>
      <c r="DX33" s="89"/>
      <c r="DY33" s="89"/>
      <c r="DZ33" s="89"/>
      <c r="EA33" s="89"/>
      <c r="EB33" s="89"/>
      <c r="EC33" s="89"/>
      <c r="ED33" s="89"/>
      <c r="EE33" s="89"/>
      <c r="EF33" s="89"/>
      <c r="EG33" s="89"/>
      <c r="EH33" s="89"/>
      <c r="EI33" s="89"/>
      <c r="EJ33" s="89"/>
      <c r="EK33" s="89"/>
      <c r="EL33" s="89"/>
      <c r="EM33" s="89"/>
      <c r="EN33" s="89"/>
      <c r="EO33" s="89"/>
      <c r="EP33" s="89"/>
      <c r="EQ33" s="89"/>
      <c r="ER33" s="89"/>
      <c r="ES33" s="89"/>
      <c r="ET33" s="89"/>
      <c r="EU33" s="89"/>
      <c r="EV33" s="89"/>
      <c r="EW33" s="89"/>
      <c r="EX33" s="89"/>
      <c r="EY33" s="89"/>
      <c r="EZ33" s="89"/>
      <c r="FA33" s="89"/>
      <c r="FB33" s="89"/>
      <c r="FC33" s="89"/>
      <c r="FD33" s="89"/>
      <c r="FE33" s="89"/>
      <c r="FF33" s="89"/>
      <c r="FG33" s="89"/>
      <c r="FH33" s="89"/>
      <c r="FI33" s="89"/>
      <c r="FJ33" s="89"/>
      <c r="FK33" s="89"/>
      <c r="FL33" s="89"/>
      <c r="FM33" s="89"/>
      <c r="FN33" s="89"/>
      <c r="FO33" s="89"/>
      <c r="FP33" s="89"/>
      <c r="FQ33" s="89"/>
      <c r="FR33" s="89"/>
      <c r="FS33" s="89"/>
      <c r="FT33" s="89"/>
      <c r="FU33" s="89"/>
      <c r="FV33" s="89"/>
      <c r="FW33" s="89"/>
      <c r="FX33" s="89"/>
      <c r="FY33" s="89"/>
      <c r="FZ33" s="89"/>
      <c r="GA33" s="89"/>
      <c r="GB33" s="89"/>
      <c r="GC33" s="89"/>
      <c r="GD33" s="89"/>
      <c r="GE33" s="89"/>
      <c r="GF33" s="89"/>
      <c r="GG33" s="89"/>
      <c r="GH33" s="89"/>
      <c r="GI33" s="89"/>
      <c r="GJ33" s="89"/>
      <c r="GK33" s="89"/>
      <c r="GL33" s="89"/>
      <c r="GM33" s="89"/>
      <c r="GN33" s="89"/>
      <c r="GO33" s="89"/>
      <c r="GP33" s="89"/>
      <c r="GQ33" s="89"/>
      <c r="GR33" s="89"/>
      <c r="GS33" s="89"/>
      <c r="GT33" s="89"/>
      <c r="GU33" s="89"/>
      <c r="GV33" s="89"/>
      <c r="GW33" s="89"/>
      <c r="GX33" s="89"/>
      <c r="GY33" s="89"/>
      <c r="GZ33" s="89"/>
      <c r="HA33" s="89"/>
      <c r="HB33" s="89"/>
      <c r="HC33" s="89"/>
      <c r="HD33" s="89"/>
      <c r="HE33" s="89"/>
      <c r="HF33" s="89"/>
      <c r="HG33" s="89"/>
      <c r="HH33" s="89"/>
      <c r="HI33" s="89"/>
      <c r="HJ33" s="89"/>
      <c r="HK33" s="89"/>
      <c r="HL33" s="89"/>
      <c r="HM33" s="89"/>
      <c r="HN33" s="89"/>
      <c r="HO33" s="89"/>
      <c r="HP33" s="89"/>
      <c r="HQ33" s="89"/>
      <c r="HR33" s="89"/>
      <c r="HS33" s="89"/>
      <c r="HT33" s="89"/>
      <c r="HU33" s="89"/>
      <c r="HV33" s="89"/>
      <c r="HW33" s="89"/>
      <c r="HX33" s="89"/>
      <c r="HY33" s="89"/>
      <c r="HZ33" s="89"/>
      <c r="IA33" s="89"/>
      <c r="IB33" s="89"/>
      <c r="IC33" s="89"/>
      <c r="ID33" s="89"/>
      <c r="IE33" s="89"/>
      <c r="IF33" s="89"/>
      <c r="IG33" s="89"/>
      <c r="IH33" s="89"/>
      <c r="II33" s="89"/>
      <c r="IJ33" s="89"/>
      <c r="IK33" s="89"/>
      <c r="IL33" s="89"/>
      <c r="IM33" s="89"/>
      <c r="IN33" s="89"/>
      <c r="IO33" s="89"/>
      <c r="IP33" s="89"/>
      <c r="IQ33" s="89"/>
      <c r="IR33" s="89"/>
      <c r="IS33" s="89"/>
      <c r="IT33" s="89"/>
      <c r="IU33" s="89"/>
      <c r="IV33" s="89"/>
    </row>
    <row r="34" spans="1:256" s="5" customFormat="1">
      <c r="A34" s="8"/>
      <c r="B34" s="6"/>
      <c r="C34" s="6"/>
      <c r="D34" s="6"/>
      <c r="E34" s="32"/>
      <c r="F34" s="6"/>
      <c r="G34" s="32"/>
      <c r="H34" s="6"/>
      <c r="I34" s="6"/>
      <c r="J34" s="6"/>
      <c r="K34" s="6"/>
      <c r="L34" s="6"/>
      <c r="M34" s="6"/>
      <c r="N34" s="6"/>
      <c r="O34" s="6"/>
      <c r="P34" s="6"/>
      <c r="Q34" s="6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  <c r="EI34" s="89"/>
      <c r="EJ34" s="89"/>
      <c r="EK34" s="89"/>
      <c r="EL34" s="89"/>
      <c r="EM34" s="89"/>
      <c r="EN34" s="89"/>
      <c r="EO34" s="89"/>
      <c r="EP34" s="89"/>
      <c r="EQ34" s="89"/>
      <c r="ER34" s="89"/>
      <c r="ES34" s="89"/>
      <c r="ET34" s="89"/>
      <c r="EU34" s="89"/>
      <c r="EV34" s="89"/>
      <c r="EW34" s="89"/>
      <c r="EX34" s="89"/>
      <c r="EY34" s="89"/>
      <c r="EZ34" s="89"/>
      <c r="FA34" s="89"/>
      <c r="FB34" s="89"/>
      <c r="FC34" s="89"/>
      <c r="FD34" s="89"/>
      <c r="FE34" s="89"/>
      <c r="FF34" s="89"/>
      <c r="FG34" s="89"/>
      <c r="FH34" s="89"/>
      <c r="FI34" s="89"/>
      <c r="FJ34" s="89"/>
      <c r="FK34" s="89"/>
      <c r="FL34" s="89"/>
      <c r="FM34" s="89"/>
      <c r="FN34" s="89"/>
      <c r="FO34" s="89"/>
      <c r="FP34" s="89"/>
      <c r="FQ34" s="89"/>
      <c r="FR34" s="89"/>
      <c r="FS34" s="89"/>
      <c r="FT34" s="89"/>
      <c r="FU34" s="89"/>
      <c r="FV34" s="89"/>
      <c r="FW34" s="89"/>
      <c r="FX34" s="89"/>
      <c r="FY34" s="89"/>
      <c r="FZ34" s="89"/>
      <c r="GA34" s="89"/>
      <c r="GB34" s="89"/>
      <c r="GC34" s="89"/>
      <c r="GD34" s="89"/>
      <c r="GE34" s="89"/>
      <c r="GF34" s="89"/>
      <c r="GG34" s="89"/>
      <c r="GH34" s="89"/>
      <c r="GI34" s="89"/>
      <c r="GJ34" s="89"/>
      <c r="GK34" s="89"/>
      <c r="GL34" s="89"/>
      <c r="GM34" s="89"/>
      <c r="GN34" s="89"/>
      <c r="GO34" s="89"/>
      <c r="GP34" s="89"/>
      <c r="GQ34" s="89"/>
      <c r="GR34" s="89"/>
      <c r="GS34" s="89"/>
      <c r="GT34" s="89"/>
      <c r="GU34" s="89"/>
      <c r="GV34" s="89"/>
      <c r="GW34" s="89"/>
      <c r="GX34" s="89"/>
      <c r="GY34" s="89"/>
      <c r="GZ34" s="89"/>
      <c r="HA34" s="89"/>
      <c r="HB34" s="89"/>
      <c r="HC34" s="89"/>
      <c r="HD34" s="89"/>
      <c r="HE34" s="89"/>
      <c r="HF34" s="89"/>
      <c r="HG34" s="89"/>
      <c r="HH34" s="89"/>
      <c r="HI34" s="89"/>
      <c r="HJ34" s="89"/>
      <c r="HK34" s="89"/>
      <c r="HL34" s="89"/>
      <c r="HM34" s="89"/>
      <c r="HN34" s="89"/>
      <c r="HO34" s="89"/>
      <c r="HP34" s="89"/>
      <c r="HQ34" s="89"/>
      <c r="HR34" s="89"/>
      <c r="HS34" s="89"/>
      <c r="HT34" s="89"/>
      <c r="HU34" s="89"/>
      <c r="HV34" s="89"/>
      <c r="HW34" s="89"/>
      <c r="HX34" s="89"/>
      <c r="HY34" s="89"/>
      <c r="HZ34" s="89"/>
      <c r="IA34" s="89"/>
      <c r="IB34" s="89"/>
      <c r="IC34" s="89"/>
      <c r="ID34" s="89"/>
      <c r="IE34" s="89"/>
      <c r="IF34" s="89"/>
      <c r="IG34" s="89"/>
      <c r="IH34" s="89"/>
      <c r="II34" s="89"/>
      <c r="IJ34" s="89"/>
      <c r="IK34" s="89"/>
      <c r="IL34" s="89"/>
      <c r="IM34" s="89"/>
      <c r="IN34" s="89"/>
      <c r="IO34" s="89"/>
      <c r="IP34" s="89"/>
      <c r="IQ34" s="89"/>
      <c r="IR34" s="89"/>
      <c r="IS34" s="89"/>
      <c r="IT34" s="89"/>
      <c r="IU34" s="89"/>
      <c r="IV34" s="89"/>
    </row>
    <row r="35" spans="1:256" s="5" customFormat="1">
      <c r="A35" s="8"/>
      <c r="B35" s="6"/>
      <c r="C35" s="6"/>
      <c r="D35" s="6"/>
      <c r="E35" s="32"/>
      <c r="F35" s="6"/>
      <c r="G35" s="32"/>
      <c r="H35" s="6"/>
      <c r="I35" s="6"/>
      <c r="J35" s="6"/>
      <c r="K35" s="6"/>
      <c r="L35" s="6"/>
      <c r="M35" s="6"/>
      <c r="N35" s="6"/>
      <c r="O35" s="6"/>
      <c r="P35" s="6"/>
      <c r="Q35" s="6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  <c r="EI35" s="89"/>
      <c r="EJ35" s="89"/>
      <c r="EK35" s="89"/>
      <c r="EL35" s="89"/>
      <c r="EM35" s="89"/>
      <c r="EN35" s="89"/>
      <c r="EO35" s="89"/>
      <c r="EP35" s="89"/>
      <c r="EQ35" s="89"/>
      <c r="ER35" s="89"/>
      <c r="ES35" s="89"/>
      <c r="ET35" s="89"/>
      <c r="EU35" s="89"/>
      <c r="EV35" s="89"/>
      <c r="EW35" s="89"/>
      <c r="EX35" s="89"/>
      <c r="EY35" s="89"/>
      <c r="EZ35" s="89"/>
      <c r="FA35" s="89"/>
      <c r="FB35" s="89"/>
      <c r="FC35" s="89"/>
      <c r="FD35" s="89"/>
      <c r="FE35" s="89"/>
      <c r="FF35" s="89"/>
      <c r="FG35" s="89"/>
      <c r="FH35" s="89"/>
      <c r="FI35" s="89"/>
      <c r="FJ35" s="89"/>
      <c r="FK35" s="89"/>
      <c r="FL35" s="89"/>
      <c r="FM35" s="89"/>
      <c r="FN35" s="89"/>
      <c r="FO35" s="89"/>
      <c r="FP35" s="89"/>
      <c r="FQ35" s="89"/>
      <c r="FR35" s="89"/>
      <c r="FS35" s="89"/>
      <c r="FT35" s="89"/>
      <c r="FU35" s="89"/>
      <c r="FV35" s="89"/>
      <c r="FW35" s="89"/>
      <c r="FX35" s="89"/>
      <c r="FY35" s="89"/>
      <c r="FZ35" s="89"/>
      <c r="GA35" s="89"/>
      <c r="GB35" s="89"/>
      <c r="GC35" s="89"/>
      <c r="GD35" s="89"/>
      <c r="GE35" s="89"/>
      <c r="GF35" s="89"/>
      <c r="GG35" s="89"/>
      <c r="GH35" s="89"/>
      <c r="GI35" s="89"/>
      <c r="GJ35" s="89"/>
      <c r="GK35" s="89"/>
      <c r="GL35" s="89"/>
      <c r="GM35" s="89"/>
      <c r="GN35" s="89"/>
      <c r="GO35" s="89"/>
      <c r="GP35" s="89"/>
      <c r="GQ35" s="89"/>
      <c r="GR35" s="89"/>
      <c r="GS35" s="89"/>
      <c r="GT35" s="89"/>
      <c r="GU35" s="89"/>
      <c r="GV35" s="89"/>
      <c r="GW35" s="89"/>
      <c r="GX35" s="89"/>
      <c r="GY35" s="89"/>
      <c r="GZ35" s="89"/>
      <c r="HA35" s="89"/>
      <c r="HB35" s="89"/>
      <c r="HC35" s="89"/>
      <c r="HD35" s="89"/>
      <c r="HE35" s="89"/>
      <c r="HF35" s="89"/>
      <c r="HG35" s="89"/>
      <c r="HH35" s="89"/>
      <c r="HI35" s="89"/>
      <c r="HJ35" s="89"/>
      <c r="HK35" s="89"/>
      <c r="HL35" s="89"/>
      <c r="HM35" s="89"/>
      <c r="HN35" s="89"/>
      <c r="HO35" s="89"/>
      <c r="HP35" s="89"/>
      <c r="HQ35" s="89"/>
      <c r="HR35" s="89"/>
      <c r="HS35" s="89"/>
      <c r="HT35" s="89"/>
      <c r="HU35" s="89"/>
      <c r="HV35" s="89"/>
      <c r="HW35" s="89"/>
      <c r="HX35" s="89"/>
      <c r="HY35" s="89"/>
      <c r="HZ35" s="89"/>
      <c r="IA35" s="89"/>
      <c r="IB35" s="89"/>
      <c r="IC35" s="89"/>
      <c r="ID35" s="89"/>
      <c r="IE35" s="89"/>
      <c r="IF35" s="89"/>
      <c r="IG35" s="89"/>
      <c r="IH35" s="89"/>
      <c r="II35" s="89"/>
      <c r="IJ35" s="89"/>
      <c r="IK35" s="89"/>
      <c r="IL35" s="89"/>
      <c r="IM35" s="89"/>
      <c r="IN35" s="89"/>
      <c r="IO35" s="89"/>
      <c r="IP35" s="89"/>
      <c r="IQ35" s="89"/>
      <c r="IR35" s="89"/>
      <c r="IS35" s="89"/>
      <c r="IT35" s="89"/>
      <c r="IU35" s="89"/>
      <c r="IV35" s="89"/>
    </row>
    <row r="36" spans="1:256" s="5" customFormat="1">
      <c r="A36" s="8"/>
      <c r="B36" s="6"/>
      <c r="C36" s="6"/>
      <c r="D36" s="6"/>
      <c r="E36" s="32"/>
      <c r="F36" s="6"/>
      <c r="G36" s="32"/>
      <c r="H36" s="6"/>
      <c r="I36" s="6"/>
      <c r="J36" s="6"/>
      <c r="K36" s="6"/>
      <c r="L36" s="6"/>
      <c r="M36" s="6"/>
      <c r="N36" s="6"/>
      <c r="O36" s="6"/>
      <c r="P36" s="6"/>
      <c r="Q36" s="6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89"/>
      <c r="DY36" s="89"/>
      <c r="DZ36" s="89"/>
      <c r="EA36" s="89"/>
      <c r="EB36" s="89"/>
      <c r="EC36" s="89"/>
      <c r="ED36" s="89"/>
      <c r="EE36" s="89"/>
      <c r="EF36" s="89"/>
      <c r="EG36" s="89"/>
      <c r="EH36" s="89"/>
      <c r="EI36" s="89"/>
      <c r="EJ36" s="89"/>
      <c r="EK36" s="89"/>
      <c r="EL36" s="89"/>
      <c r="EM36" s="89"/>
      <c r="EN36" s="89"/>
      <c r="EO36" s="89"/>
      <c r="EP36" s="89"/>
      <c r="EQ36" s="89"/>
      <c r="ER36" s="89"/>
      <c r="ES36" s="89"/>
      <c r="ET36" s="89"/>
      <c r="EU36" s="89"/>
      <c r="EV36" s="89"/>
      <c r="EW36" s="89"/>
      <c r="EX36" s="89"/>
      <c r="EY36" s="89"/>
      <c r="EZ36" s="89"/>
      <c r="FA36" s="89"/>
      <c r="FB36" s="89"/>
      <c r="FC36" s="89"/>
      <c r="FD36" s="89"/>
      <c r="FE36" s="89"/>
      <c r="FF36" s="89"/>
      <c r="FG36" s="89"/>
      <c r="FH36" s="89"/>
      <c r="FI36" s="89"/>
      <c r="FJ36" s="89"/>
      <c r="FK36" s="89"/>
      <c r="FL36" s="89"/>
      <c r="FM36" s="89"/>
      <c r="FN36" s="89"/>
      <c r="FO36" s="89"/>
      <c r="FP36" s="89"/>
      <c r="FQ36" s="89"/>
      <c r="FR36" s="89"/>
      <c r="FS36" s="89"/>
      <c r="FT36" s="89"/>
      <c r="FU36" s="89"/>
      <c r="FV36" s="89"/>
      <c r="FW36" s="89"/>
      <c r="FX36" s="89"/>
      <c r="FY36" s="89"/>
      <c r="FZ36" s="89"/>
      <c r="GA36" s="89"/>
      <c r="GB36" s="89"/>
      <c r="GC36" s="89"/>
      <c r="GD36" s="89"/>
      <c r="GE36" s="89"/>
      <c r="GF36" s="89"/>
      <c r="GG36" s="89"/>
      <c r="GH36" s="89"/>
      <c r="GI36" s="89"/>
      <c r="GJ36" s="89"/>
      <c r="GK36" s="89"/>
      <c r="GL36" s="89"/>
      <c r="GM36" s="89"/>
      <c r="GN36" s="89"/>
      <c r="GO36" s="89"/>
      <c r="GP36" s="89"/>
      <c r="GQ36" s="89"/>
      <c r="GR36" s="89"/>
      <c r="GS36" s="89"/>
      <c r="GT36" s="89"/>
      <c r="GU36" s="89"/>
      <c r="GV36" s="89"/>
      <c r="GW36" s="89"/>
      <c r="GX36" s="89"/>
      <c r="GY36" s="89"/>
      <c r="GZ36" s="89"/>
      <c r="HA36" s="89"/>
      <c r="HB36" s="89"/>
      <c r="HC36" s="89"/>
      <c r="HD36" s="89"/>
      <c r="HE36" s="89"/>
      <c r="HF36" s="89"/>
      <c r="HG36" s="89"/>
      <c r="HH36" s="89"/>
      <c r="HI36" s="89"/>
      <c r="HJ36" s="89"/>
      <c r="HK36" s="89"/>
      <c r="HL36" s="89"/>
      <c r="HM36" s="89"/>
      <c r="HN36" s="89"/>
      <c r="HO36" s="89"/>
      <c r="HP36" s="89"/>
      <c r="HQ36" s="89"/>
      <c r="HR36" s="89"/>
      <c r="HS36" s="89"/>
      <c r="HT36" s="89"/>
      <c r="HU36" s="89"/>
      <c r="HV36" s="89"/>
      <c r="HW36" s="89"/>
      <c r="HX36" s="89"/>
      <c r="HY36" s="89"/>
      <c r="HZ36" s="89"/>
      <c r="IA36" s="89"/>
      <c r="IB36" s="89"/>
      <c r="IC36" s="89"/>
      <c r="ID36" s="89"/>
      <c r="IE36" s="89"/>
      <c r="IF36" s="89"/>
      <c r="IG36" s="89"/>
      <c r="IH36" s="89"/>
      <c r="II36" s="89"/>
      <c r="IJ36" s="89"/>
      <c r="IK36" s="89"/>
      <c r="IL36" s="89"/>
      <c r="IM36" s="89"/>
      <c r="IN36" s="89"/>
      <c r="IO36" s="89"/>
      <c r="IP36" s="89"/>
      <c r="IQ36" s="89"/>
      <c r="IR36" s="89"/>
      <c r="IS36" s="89"/>
      <c r="IT36" s="89"/>
      <c r="IU36" s="89"/>
      <c r="IV36" s="89"/>
    </row>
    <row r="37" spans="1:256" s="5" customFormat="1">
      <c r="A37" s="8"/>
      <c r="B37" s="6"/>
      <c r="C37" s="6"/>
      <c r="D37" s="6"/>
      <c r="E37" s="32"/>
      <c r="F37" s="6"/>
      <c r="G37" s="32"/>
      <c r="H37" s="6"/>
      <c r="I37" s="6"/>
      <c r="J37" s="6"/>
      <c r="K37" s="6"/>
      <c r="L37" s="6"/>
      <c r="M37" s="6"/>
      <c r="N37" s="6"/>
      <c r="O37" s="6"/>
      <c r="P37" s="6"/>
      <c r="Q37" s="6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89"/>
      <c r="EO37" s="89"/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  <c r="FA37" s="89"/>
      <c r="FB37" s="89"/>
      <c r="FC37" s="89"/>
      <c r="FD37" s="89"/>
      <c r="FE37" s="89"/>
      <c r="FF37" s="89"/>
      <c r="FG37" s="89"/>
      <c r="FH37" s="89"/>
      <c r="FI37" s="89"/>
      <c r="FJ37" s="89"/>
      <c r="FK37" s="89"/>
      <c r="FL37" s="89"/>
      <c r="FM37" s="89"/>
      <c r="FN37" s="89"/>
      <c r="FO37" s="89"/>
      <c r="FP37" s="89"/>
      <c r="FQ37" s="89"/>
      <c r="FR37" s="89"/>
      <c r="FS37" s="89"/>
      <c r="FT37" s="89"/>
      <c r="FU37" s="89"/>
      <c r="FV37" s="89"/>
      <c r="FW37" s="89"/>
      <c r="FX37" s="89"/>
      <c r="FY37" s="89"/>
      <c r="FZ37" s="89"/>
      <c r="GA37" s="89"/>
      <c r="GB37" s="89"/>
      <c r="GC37" s="89"/>
      <c r="GD37" s="89"/>
      <c r="GE37" s="89"/>
      <c r="GF37" s="89"/>
      <c r="GG37" s="89"/>
      <c r="GH37" s="89"/>
      <c r="GI37" s="89"/>
      <c r="GJ37" s="89"/>
      <c r="GK37" s="89"/>
      <c r="GL37" s="89"/>
      <c r="GM37" s="89"/>
      <c r="GN37" s="89"/>
      <c r="GO37" s="89"/>
      <c r="GP37" s="89"/>
      <c r="GQ37" s="89"/>
      <c r="GR37" s="89"/>
      <c r="GS37" s="89"/>
      <c r="GT37" s="89"/>
      <c r="GU37" s="89"/>
      <c r="GV37" s="89"/>
      <c r="GW37" s="89"/>
      <c r="GX37" s="89"/>
      <c r="GY37" s="89"/>
      <c r="GZ37" s="89"/>
      <c r="HA37" s="89"/>
      <c r="HB37" s="89"/>
      <c r="HC37" s="89"/>
      <c r="HD37" s="89"/>
      <c r="HE37" s="89"/>
      <c r="HF37" s="89"/>
      <c r="HG37" s="89"/>
      <c r="HH37" s="89"/>
      <c r="HI37" s="89"/>
      <c r="HJ37" s="89"/>
      <c r="HK37" s="89"/>
      <c r="HL37" s="89"/>
      <c r="HM37" s="89"/>
      <c r="HN37" s="89"/>
      <c r="HO37" s="89"/>
      <c r="HP37" s="89"/>
      <c r="HQ37" s="89"/>
      <c r="HR37" s="89"/>
      <c r="HS37" s="89"/>
      <c r="HT37" s="89"/>
      <c r="HU37" s="89"/>
      <c r="HV37" s="89"/>
      <c r="HW37" s="89"/>
      <c r="HX37" s="89"/>
      <c r="HY37" s="89"/>
      <c r="HZ37" s="89"/>
      <c r="IA37" s="89"/>
      <c r="IB37" s="89"/>
      <c r="IC37" s="89"/>
      <c r="ID37" s="89"/>
      <c r="IE37" s="89"/>
      <c r="IF37" s="89"/>
      <c r="IG37" s="89"/>
      <c r="IH37" s="89"/>
      <c r="II37" s="89"/>
      <c r="IJ37" s="89"/>
      <c r="IK37" s="89"/>
      <c r="IL37" s="89"/>
      <c r="IM37" s="89"/>
      <c r="IN37" s="89"/>
      <c r="IO37" s="89"/>
      <c r="IP37" s="89"/>
      <c r="IQ37" s="89"/>
      <c r="IR37" s="89"/>
      <c r="IS37" s="89"/>
      <c r="IT37" s="89"/>
      <c r="IU37" s="89"/>
      <c r="IV37" s="89"/>
    </row>
    <row r="38" spans="1:256" s="3" customFormat="1">
      <c r="A38" s="9"/>
      <c r="B38" s="7"/>
      <c r="C38" s="7"/>
      <c r="D38" s="7"/>
      <c r="E38" s="33"/>
      <c r="F38" s="7"/>
      <c r="G38" s="33"/>
      <c r="H38" s="7"/>
      <c r="I38" s="7"/>
      <c r="J38" s="7"/>
      <c r="K38" s="7"/>
      <c r="L38" s="7"/>
      <c r="M38" s="7"/>
      <c r="N38" s="7"/>
      <c r="O38" s="7"/>
      <c r="P38" s="7"/>
      <c r="Q38" s="7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0"/>
      <c r="CS38" s="90"/>
      <c r="CT38" s="90"/>
      <c r="CU38" s="90"/>
      <c r="CV38" s="90"/>
      <c r="CW38" s="90"/>
      <c r="CX38" s="90"/>
      <c r="CY38" s="90"/>
      <c r="CZ38" s="90"/>
      <c r="DA38" s="90"/>
      <c r="DB38" s="90"/>
      <c r="DC38" s="90"/>
      <c r="DD38" s="90"/>
      <c r="DE38" s="90"/>
      <c r="DF38" s="90"/>
      <c r="DG38" s="90"/>
      <c r="DH38" s="90"/>
      <c r="DI38" s="90"/>
      <c r="DJ38" s="90"/>
      <c r="DK38" s="90"/>
      <c r="DL38" s="90"/>
      <c r="DM38" s="90"/>
      <c r="DN38" s="90"/>
      <c r="DO38" s="90"/>
      <c r="DP38" s="90"/>
      <c r="DQ38" s="90"/>
      <c r="DR38" s="90"/>
      <c r="DS38" s="90"/>
      <c r="DT38" s="90"/>
      <c r="DU38" s="90"/>
      <c r="DV38" s="90"/>
      <c r="DW38" s="90"/>
      <c r="DX38" s="90"/>
      <c r="DY38" s="90"/>
      <c r="DZ38" s="90"/>
      <c r="EA38" s="90"/>
      <c r="EB38" s="90"/>
      <c r="EC38" s="90"/>
      <c r="ED38" s="90"/>
      <c r="EE38" s="90"/>
      <c r="EF38" s="90"/>
      <c r="EG38" s="90"/>
      <c r="EH38" s="90"/>
      <c r="EI38" s="90"/>
      <c r="EJ38" s="90"/>
      <c r="EK38" s="90"/>
      <c r="EL38" s="90"/>
      <c r="EM38" s="90"/>
      <c r="EN38" s="90"/>
      <c r="EO38" s="90"/>
      <c r="EP38" s="90"/>
      <c r="EQ38" s="90"/>
      <c r="ER38" s="90"/>
      <c r="ES38" s="90"/>
      <c r="ET38" s="90"/>
      <c r="EU38" s="90"/>
      <c r="EV38" s="90"/>
      <c r="EW38" s="90"/>
      <c r="EX38" s="90"/>
      <c r="EY38" s="90"/>
      <c r="EZ38" s="90"/>
      <c r="FA38" s="90"/>
      <c r="FB38" s="90"/>
      <c r="FC38" s="90"/>
      <c r="FD38" s="90"/>
      <c r="FE38" s="90"/>
      <c r="FF38" s="90"/>
      <c r="FG38" s="90"/>
      <c r="FH38" s="90"/>
      <c r="FI38" s="90"/>
      <c r="FJ38" s="90"/>
      <c r="FK38" s="90"/>
      <c r="FL38" s="90"/>
      <c r="FM38" s="90"/>
      <c r="FN38" s="90"/>
      <c r="FO38" s="90"/>
      <c r="FP38" s="90"/>
      <c r="FQ38" s="90"/>
      <c r="FR38" s="90"/>
      <c r="FS38" s="90"/>
      <c r="FT38" s="90"/>
      <c r="FU38" s="90"/>
      <c r="FV38" s="90"/>
      <c r="FW38" s="90"/>
      <c r="FX38" s="90"/>
      <c r="FY38" s="90"/>
      <c r="FZ38" s="90"/>
      <c r="GA38" s="90"/>
      <c r="GB38" s="90"/>
      <c r="GC38" s="90"/>
      <c r="GD38" s="90"/>
      <c r="GE38" s="90"/>
      <c r="GF38" s="90"/>
      <c r="GG38" s="90"/>
      <c r="GH38" s="90"/>
      <c r="GI38" s="90"/>
      <c r="GJ38" s="90"/>
      <c r="GK38" s="90"/>
      <c r="GL38" s="90"/>
      <c r="GM38" s="90"/>
      <c r="GN38" s="90"/>
      <c r="GO38" s="90"/>
      <c r="GP38" s="90"/>
      <c r="GQ38" s="90"/>
      <c r="GR38" s="90"/>
      <c r="GS38" s="90"/>
      <c r="GT38" s="90"/>
      <c r="GU38" s="90"/>
      <c r="GV38" s="90"/>
      <c r="GW38" s="90"/>
      <c r="GX38" s="90"/>
      <c r="GY38" s="90"/>
      <c r="GZ38" s="90"/>
      <c r="HA38" s="90"/>
      <c r="HB38" s="90"/>
      <c r="HC38" s="90"/>
      <c r="HD38" s="90"/>
      <c r="HE38" s="90"/>
      <c r="HF38" s="90"/>
      <c r="HG38" s="90"/>
      <c r="HH38" s="90"/>
      <c r="HI38" s="90"/>
      <c r="HJ38" s="90"/>
      <c r="HK38" s="90"/>
      <c r="HL38" s="90"/>
      <c r="HM38" s="90"/>
      <c r="HN38" s="90"/>
      <c r="HO38" s="90"/>
      <c r="HP38" s="90"/>
      <c r="HQ38" s="90"/>
      <c r="HR38" s="90"/>
      <c r="HS38" s="90"/>
      <c r="HT38" s="90"/>
      <c r="HU38" s="90"/>
      <c r="HV38" s="90"/>
      <c r="HW38" s="90"/>
      <c r="HX38" s="90"/>
      <c r="HY38" s="90"/>
      <c r="HZ38" s="90"/>
      <c r="IA38" s="90"/>
      <c r="IB38" s="90"/>
      <c r="IC38" s="90"/>
      <c r="ID38" s="90"/>
      <c r="IE38" s="90"/>
      <c r="IF38" s="90"/>
      <c r="IG38" s="90"/>
      <c r="IH38" s="90"/>
      <c r="II38" s="90"/>
      <c r="IJ38" s="90"/>
      <c r="IK38" s="90"/>
      <c r="IL38" s="90"/>
      <c r="IM38" s="90"/>
      <c r="IN38" s="90"/>
      <c r="IO38" s="90"/>
      <c r="IP38" s="90"/>
      <c r="IQ38" s="90"/>
      <c r="IR38" s="90"/>
      <c r="IS38" s="90"/>
      <c r="IT38" s="90"/>
      <c r="IU38" s="90"/>
      <c r="IV38" s="90"/>
    </row>
    <row r="39" spans="1:256" s="3" customFormat="1">
      <c r="A39" s="9"/>
      <c r="B39" s="7"/>
      <c r="C39" s="7"/>
      <c r="D39" s="7"/>
      <c r="E39" s="33"/>
      <c r="F39" s="7"/>
      <c r="G39" s="33"/>
      <c r="H39" s="7"/>
      <c r="I39" s="7"/>
      <c r="J39" s="7"/>
      <c r="K39" s="7"/>
      <c r="L39" s="7"/>
      <c r="M39" s="7"/>
      <c r="N39" s="7"/>
      <c r="O39" s="7"/>
      <c r="P39" s="7"/>
      <c r="Q39" s="7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0"/>
      <c r="CU39" s="90"/>
      <c r="CV39" s="90"/>
      <c r="CW39" s="90"/>
      <c r="CX39" s="90"/>
      <c r="CY39" s="90"/>
      <c r="CZ39" s="90"/>
      <c r="DA39" s="90"/>
      <c r="DB39" s="90"/>
      <c r="DC39" s="90"/>
      <c r="DD39" s="90"/>
      <c r="DE39" s="90"/>
      <c r="DF39" s="90"/>
      <c r="DG39" s="90"/>
      <c r="DH39" s="90"/>
      <c r="DI39" s="90"/>
      <c r="DJ39" s="90"/>
      <c r="DK39" s="90"/>
      <c r="DL39" s="90"/>
      <c r="DM39" s="90"/>
      <c r="DN39" s="90"/>
      <c r="DO39" s="90"/>
      <c r="DP39" s="90"/>
      <c r="DQ39" s="90"/>
      <c r="DR39" s="90"/>
      <c r="DS39" s="90"/>
      <c r="DT39" s="90"/>
      <c r="DU39" s="90"/>
      <c r="DV39" s="90"/>
      <c r="DW39" s="90"/>
      <c r="DX39" s="90"/>
      <c r="DY39" s="90"/>
      <c r="DZ39" s="90"/>
      <c r="EA39" s="90"/>
      <c r="EB39" s="90"/>
      <c r="EC39" s="90"/>
      <c r="ED39" s="90"/>
      <c r="EE39" s="90"/>
      <c r="EF39" s="90"/>
      <c r="EG39" s="90"/>
      <c r="EH39" s="90"/>
      <c r="EI39" s="90"/>
      <c r="EJ39" s="90"/>
      <c r="EK39" s="90"/>
      <c r="EL39" s="90"/>
      <c r="EM39" s="90"/>
      <c r="EN39" s="90"/>
      <c r="EO39" s="90"/>
      <c r="EP39" s="90"/>
      <c r="EQ39" s="90"/>
      <c r="ER39" s="90"/>
      <c r="ES39" s="90"/>
      <c r="ET39" s="90"/>
      <c r="EU39" s="90"/>
      <c r="EV39" s="90"/>
      <c r="EW39" s="90"/>
      <c r="EX39" s="90"/>
      <c r="EY39" s="90"/>
      <c r="EZ39" s="90"/>
      <c r="FA39" s="90"/>
      <c r="FB39" s="90"/>
      <c r="FC39" s="90"/>
      <c r="FD39" s="90"/>
      <c r="FE39" s="90"/>
      <c r="FF39" s="90"/>
      <c r="FG39" s="90"/>
      <c r="FH39" s="90"/>
      <c r="FI39" s="90"/>
      <c r="FJ39" s="90"/>
      <c r="FK39" s="90"/>
      <c r="FL39" s="90"/>
      <c r="FM39" s="90"/>
      <c r="FN39" s="90"/>
      <c r="FO39" s="90"/>
      <c r="FP39" s="90"/>
      <c r="FQ39" s="90"/>
      <c r="FR39" s="90"/>
      <c r="FS39" s="90"/>
      <c r="FT39" s="90"/>
      <c r="FU39" s="90"/>
      <c r="FV39" s="90"/>
      <c r="FW39" s="90"/>
      <c r="FX39" s="90"/>
      <c r="FY39" s="90"/>
      <c r="FZ39" s="90"/>
      <c r="GA39" s="90"/>
      <c r="GB39" s="90"/>
      <c r="GC39" s="90"/>
      <c r="GD39" s="90"/>
      <c r="GE39" s="90"/>
      <c r="GF39" s="90"/>
      <c r="GG39" s="90"/>
      <c r="GH39" s="90"/>
      <c r="GI39" s="90"/>
      <c r="GJ39" s="90"/>
      <c r="GK39" s="90"/>
      <c r="GL39" s="90"/>
      <c r="GM39" s="90"/>
      <c r="GN39" s="90"/>
      <c r="GO39" s="90"/>
      <c r="GP39" s="90"/>
      <c r="GQ39" s="90"/>
      <c r="GR39" s="90"/>
      <c r="GS39" s="90"/>
      <c r="GT39" s="90"/>
      <c r="GU39" s="90"/>
      <c r="GV39" s="90"/>
      <c r="GW39" s="90"/>
      <c r="GX39" s="90"/>
      <c r="GY39" s="90"/>
      <c r="GZ39" s="90"/>
      <c r="HA39" s="90"/>
      <c r="HB39" s="90"/>
      <c r="HC39" s="90"/>
      <c r="HD39" s="90"/>
      <c r="HE39" s="90"/>
      <c r="HF39" s="90"/>
      <c r="HG39" s="90"/>
      <c r="HH39" s="90"/>
      <c r="HI39" s="90"/>
      <c r="HJ39" s="90"/>
      <c r="HK39" s="90"/>
      <c r="HL39" s="90"/>
      <c r="HM39" s="90"/>
      <c r="HN39" s="90"/>
      <c r="HO39" s="90"/>
      <c r="HP39" s="90"/>
      <c r="HQ39" s="90"/>
      <c r="HR39" s="90"/>
      <c r="HS39" s="90"/>
      <c r="HT39" s="90"/>
      <c r="HU39" s="90"/>
      <c r="HV39" s="90"/>
      <c r="HW39" s="90"/>
      <c r="HX39" s="90"/>
      <c r="HY39" s="90"/>
      <c r="HZ39" s="90"/>
      <c r="IA39" s="90"/>
      <c r="IB39" s="90"/>
      <c r="IC39" s="90"/>
      <c r="ID39" s="90"/>
      <c r="IE39" s="90"/>
      <c r="IF39" s="90"/>
      <c r="IG39" s="90"/>
      <c r="IH39" s="90"/>
      <c r="II39" s="90"/>
      <c r="IJ39" s="90"/>
      <c r="IK39" s="90"/>
      <c r="IL39" s="90"/>
      <c r="IM39" s="90"/>
      <c r="IN39" s="90"/>
      <c r="IO39" s="90"/>
      <c r="IP39" s="90"/>
      <c r="IQ39" s="90"/>
      <c r="IR39" s="90"/>
      <c r="IS39" s="90"/>
      <c r="IT39" s="90"/>
      <c r="IU39" s="90"/>
      <c r="IV39" s="90"/>
    </row>
    <row r="40" spans="1:256" s="3" customFormat="1">
      <c r="A40" s="9"/>
      <c r="B40" s="7"/>
      <c r="C40" s="7"/>
      <c r="D40" s="7"/>
      <c r="E40" s="33"/>
      <c r="F40" s="7"/>
      <c r="G40" s="33"/>
      <c r="H40" s="7"/>
      <c r="I40" s="7"/>
      <c r="J40" s="7"/>
      <c r="K40" s="7"/>
      <c r="L40" s="7"/>
      <c r="M40" s="7"/>
      <c r="N40" s="7"/>
      <c r="O40" s="7"/>
      <c r="P40" s="7"/>
      <c r="Q40" s="7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90"/>
      <c r="CG40" s="90"/>
      <c r="CH40" s="90"/>
      <c r="CI40" s="90"/>
      <c r="CJ40" s="90"/>
      <c r="CK40" s="90"/>
      <c r="CL40" s="90"/>
      <c r="CM40" s="90"/>
      <c r="CN40" s="90"/>
      <c r="CO40" s="90"/>
      <c r="CP40" s="90"/>
      <c r="CQ40" s="90"/>
      <c r="CR40" s="90"/>
      <c r="CS40" s="90"/>
      <c r="CT40" s="90"/>
      <c r="CU40" s="90"/>
      <c r="CV40" s="90"/>
      <c r="CW40" s="90"/>
      <c r="CX40" s="90"/>
      <c r="CY40" s="90"/>
      <c r="CZ40" s="90"/>
      <c r="DA40" s="90"/>
      <c r="DB40" s="90"/>
      <c r="DC40" s="90"/>
      <c r="DD40" s="90"/>
      <c r="DE40" s="90"/>
      <c r="DF40" s="90"/>
      <c r="DG40" s="90"/>
      <c r="DH40" s="90"/>
      <c r="DI40" s="90"/>
      <c r="DJ40" s="90"/>
      <c r="DK40" s="90"/>
      <c r="DL40" s="90"/>
      <c r="DM40" s="90"/>
      <c r="DN40" s="90"/>
      <c r="DO40" s="90"/>
      <c r="DP40" s="90"/>
      <c r="DQ40" s="90"/>
      <c r="DR40" s="90"/>
      <c r="DS40" s="90"/>
      <c r="DT40" s="90"/>
      <c r="DU40" s="90"/>
      <c r="DV40" s="90"/>
      <c r="DW40" s="90"/>
      <c r="DX40" s="90"/>
      <c r="DY40" s="90"/>
      <c r="DZ40" s="90"/>
      <c r="EA40" s="90"/>
      <c r="EB40" s="90"/>
      <c r="EC40" s="90"/>
      <c r="ED40" s="90"/>
      <c r="EE40" s="90"/>
      <c r="EF40" s="90"/>
      <c r="EG40" s="90"/>
      <c r="EH40" s="90"/>
      <c r="EI40" s="90"/>
      <c r="EJ40" s="90"/>
      <c r="EK40" s="90"/>
      <c r="EL40" s="90"/>
      <c r="EM40" s="90"/>
      <c r="EN40" s="90"/>
      <c r="EO40" s="90"/>
      <c r="EP40" s="90"/>
      <c r="EQ40" s="90"/>
      <c r="ER40" s="90"/>
      <c r="ES40" s="90"/>
      <c r="ET40" s="90"/>
      <c r="EU40" s="90"/>
      <c r="EV40" s="90"/>
      <c r="EW40" s="90"/>
      <c r="EX40" s="90"/>
      <c r="EY40" s="90"/>
      <c r="EZ40" s="90"/>
      <c r="FA40" s="90"/>
      <c r="FB40" s="90"/>
      <c r="FC40" s="90"/>
      <c r="FD40" s="90"/>
      <c r="FE40" s="90"/>
      <c r="FF40" s="90"/>
      <c r="FG40" s="90"/>
      <c r="FH40" s="90"/>
      <c r="FI40" s="90"/>
      <c r="FJ40" s="90"/>
      <c r="FK40" s="90"/>
      <c r="FL40" s="90"/>
      <c r="FM40" s="90"/>
      <c r="FN40" s="90"/>
      <c r="FO40" s="90"/>
      <c r="FP40" s="90"/>
      <c r="FQ40" s="90"/>
      <c r="FR40" s="90"/>
      <c r="FS40" s="90"/>
      <c r="FT40" s="90"/>
      <c r="FU40" s="90"/>
      <c r="FV40" s="90"/>
      <c r="FW40" s="90"/>
      <c r="FX40" s="90"/>
      <c r="FY40" s="90"/>
      <c r="FZ40" s="90"/>
      <c r="GA40" s="90"/>
      <c r="GB40" s="90"/>
      <c r="GC40" s="90"/>
      <c r="GD40" s="90"/>
      <c r="GE40" s="90"/>
      <c r="GF40" s="90"/>
      <c r="GG40" s="90"/>
      <c r="GH40" s="90"/>
      <c r="GI40" s="90"/>
      <c r="GJ40" s="90"/>
      <c r="GK40" s="90"/>
      <c r="GL40" s="90"/>
      <c r="GM40" s="90"/>
      <c r="GN40" s="90"/>
      <c r="GO40" s="90"/>
      <c r="GP40" s="90"/>
      <c r="GQ40" s="90"/>
      <c r="GR40" s="90"/>
      <c r="GS40" s="90"/>
      <c r="GT40" s="90"/>
      <c r="GU40" s="90"/>
      <c r="GV40" s="90"/>
      <c r="GW40" s="90"/>
      <c r="GX40" s="90"/>
      <c r="GY40" s="90"/>
      <c r="GZ40" s="90"/>
      <c r="HA40" s="90"/>
      <c r="HB40" s="90"/>
      <c r="HC40" s="90"/>
      <c r="HD40" s="90"/>
      <c r="HE40" s="90"/>
      <c r="HF40" s="90"/>
      <c r="HG40" s="90"/>
      <c r="HH40" s="90"/>
      <c r="HI40" s="90"/>
      <c r="HJ40" s="90"/>
      <c r="HK40" s="90"/>
      <c r="HL40" s="90"/>
      <c r="HM40" s="90"/>
      <c r="HN40" s="90"/>
      <c r="HO40" s="90"/>
      <c r="HP40" s="90"/>
      <c r="HQ40" s="90"/>
      <c r="HR40" s="90"/>
      <c r="HS40" s="90"/>
      <c r="HT40" s="90"/>
      <c r="HU40" s="90"/>
      <c r="HV40" s="90"/>
      <c r="HW40" s="90"/>
      <c r="HX40" s="90"/>
      <c r="HY40" s="90"/>
      <c r="HZ40" s="90"/>
      <c r="IA40" s="90"/>
      <c r="IB40" s="90"/>
      <c r="IC40" s="90"/>
      <c r="ID40" s="90"/>
      <c r="IE40" s="90"/>
      <c r="IF40" s="90"/>
      <c r="IG40" s="90"/>
      <c r="IH40" s="90"/>
      <c r="II40" s="90"/>
      <c r="IJ40" s="90"/>
      <c r="IK40" s="90"/>
      <c r="IL40" s="90"/>
      <c r="IM40" s="90"/>
      <c r="IN40" s="90"/>
      <c r="IO40" s="90"/>
      <c r="IP40" s="90"/>
      <c r="IQ40" s="90"/>
      <c r="IR40" s="90"/>
      <c r="IS40" s="90"/>
      <c r="IT40" s="90"/>
      <c r="IU40" s="90"/>
      <c r="IV40" s="90"/>
    </row>
    <row r="41" spans="1:256" s="3" customFormat="1">
      <c r="A41" s="9"/>
      <c r="B41" s="7"/>
      <c r="C41" s="7"/>
      <c r="D41" s="7"/>
      <c r="E41" s="33"/>
      <c r="F41" s="7"/>
      <c r="G41" s="33"/>
      <c r="H41" s="7"/>
      <c r="I41" s="7"/>
      <c r="J41" s="7"/>
      <c r="K41" s="7"/>
      <c r="L41" s="7"/>
      <c r="M41" s="7"/>
      <c r="N41" s="7"/>
      <c r="O41" s="7"/>
      <c r="P41" s="7"/>
      <c r="Q41" s="7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  <c r="DL41" s="90"/>
      <c r="DM41" s="90"/>
      <c r="DN41" s="90"/>
      <c r="DO41" s="90"/>
      <c r="DP41" s="90"/>
      <c r="DQ41" s="90"/>
      <c r="DR41" s="90"/>
      <c r="DS41" s="90"/>
      <c r="DT41" s="90"/>
      <c r="DU41" s="90"/>
      <c r="DV41" s="90"/>
      <c r="DW41" s="90"/>
      <c r="DX41" s="90"/>
      <c r="DY41" s="90"/>
      <c r="DZ41" s="90"/>
      <c r="EA41" s="90"/>
      <c r="EB41" s="90"/>
      <c r="EC41" s="90"/>
      <c r="ED41" s="90"/>
      <c r="EE41" s="90"/>
      <c r="EF41" s="90"/>
      <c r="EG41" s="90"/>
      <c r="EH41" s="90"/>
      <c r="EI41" s="90"/>
      <c r="EJ41" s="90"/>
      <c r="EK41" s="90"/>
      <c r="EL41" s="90"/>
      <c r="EM41" s="90"/>
      <c r="EN41" s="90"/>
      <c r="EO41" s="90"/>
      <c r="EP41" s="90"/>
      <c r="EQ41" s="90"/>
      <c r="ER41" s="90"/>
      <c r="ES41" s="90"/>
      <c r="ET41" s="90"/>
      <c r="EU41" s="90"/>
      <c r="EV41" s="90"/>
      <c r="EW41" s="90"/>
      <c r="EX41" s="90"/>
      <c r="EY41" s="90"/>
      <c r="EZ41" s="90"/>
      <c r="FA41" s="90"/>
      <c r="FB41" s="90"/>
      <c r="FC41" s="90"/>
      <c r="FD41" s="90"/>
      <c r="FE41" s="90"/>
      <c r="FF41" s="90"/>
      <c r="FG41" s="90"/>
      <c r="FH41" s="90"/>
      <c r="FI41" s="90"/>
      <c r="FJ41" s="90"/>
      <c r="FK41" s="90"/>
      <c r="FL41" s="90"/>
      <c r="FM41" s="90"/>
      <c r="FN41" s="90"/>
      <c r="FO41" s="90"/>
      <c r="FP41" s="90"/>
      <c r="FQ41" s="90"/>
      <c r="FR41" s="90"/>
      <c r="FS41" s="90"/>
      <c r="FT41" s="90"/>
      <c r="FU41" s="90"/>
      <c r="FV41" s="90"/>
      <c r="FW41" s="90"/>
      <c r="FX41" s="90"/>
      <c r="FY41" s="90"/>
      <c r="FZ41" s="90"/>
      <c r="GA41" s="90"/>
      <c r="GB41" s="90"/>
      <c r="GC41" s="90"/>
      <c r="GD41" s="90"/>
      <c r="GE41" s="90"/>
      <c r="GF41" s="90"/>
      <c r="GG41" s="90"/>
      <c r="GH41" s="90"/>
      <c r="GI41" s="90"/>
      <c r="GJ41" s="90"/>
      <c r="GK41" s="90"/>
      <c r="GL41" s="90"/>
      <c r="GM41" s="90"/>
      <c r="GN41" s="90"/>
      <c r="GO41" s="90"/>
      <c r="GP41" s="90"/>
      <c r="GQ41" s="90"/>
      <c r="GR41" s="90"/>
      <c r="GS41" s="90"/>
      <c r="GT41" s="90"/>
      <c r="GU41" s="90"/>
      <c r="GV41" s="90"/>
      <c r="GW41" s="90"/>
      <c r="GX41" s="90"/>
      <c r="GY41" s="90"/>
      <c r="GZ41" s="90"/>
      <c r="HA41" s="90"/>
      <c r="HB41" s="90"/>
      <c r="HC41" s="90"/>
      <c r="HD41" s="90"/>
      <c r="HE41" s="90"/>
      <c r="HF41" s="90"/>
      <c r="HG41" s="90"/>
      <c r="HH41" s="90"/>
      <c r="HI41" s="90"/>
      <c r="HJ41" s="90"/>
      <c r="HK41" s="90"/>
      <c r="HL41" s="90"/>
      <c r="HM41" s="90"/>
      <c r="HN41" s="90"/>
      <c r="HO41" s="90"/>
      <c r="HP41" s="90"/>
      <c r="HQ41" s="90"/>
      <c r="HR41" s="90"/>
      <c r="HS41" s="90"/>
      <c r="HT41" s="90"/>
      <c r="HU41" s="90"/>
      <c r="HV41" s="90"/>
      <c r="HW41" s="90"/>
      <c r="HX41" s="90"/>
      <c r="HY41" s="90"/>
      <c r="HZ41" s="90"/>
      <c r="IA41" s="90"/>
      <c r="IB41" s="90"/>
      <c r="IC41" s="90"/>
      <c r="ID41" s="90"/>
      <c r="IE41" s="90"/>
      <c r="IF41" s="90"/>
      <c r="IG41" s="90"/>
      <c r="IH41" s="90"/>
      <c r="II41" s="90"/>
      <c r="IJ41" s="90"/>
      <c r="IK41" s="90"/>
      <c r="IL41" s="90"/>
      <c r="IM41" s="90"/>
      <c r="IN41" s="90"/>
      <c r="IO41" s="90"/>
      <c r="IP41" s="90"/>
      <c r="IQ41" s="90"/>
      <c r="IR41" s="90"/>
      <c r="IS41" s="90"/>
      <c r="IT41" s="90"/>
      <c r="IU41" s="90"/>
      <c r="IV41" s="90"/>
    </row>
    <row r="42" spans="1:256" s="3" customFormat="1">
      <c r="A42" s="9"/>
      <c r="B42" s="7"/>
      <c r="C42" s="7"/>
      <c r="D42" s="7"/>
      <c r="E42" s="33"/>
      <c r="F42" s="7"/>
      <c r="G42" s="33"/>
      <c r="H42" s="7"/>
      <c r="I42" s="7"/>
      <c r="J42" s="7"/>
      <c r="K42" s="7"/>
      <c r="L42" s="7"/>
      <c r="M42" s="7"/>
      <c r="N42" s="7"/>
      <c r="O42" s="7"/>
      <c r="P42" s="7"/>
      <c r="Q42" s="7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N42" s="90"/>
      <c r="DO42" s="90"/>
      <c r="DP42" s="90"/>
      <c r="DQ42" s="90"/>
      <c r="DR42" s="90"/>
      <c r="DS42" s="90"/>
      <c r="DT42" s="90"/>
      <c r="DU42" s="90"/>
      <c r="DV42" s="90"/>
      <c r="DW42" s="90"/>
      <c r="DX42" s="90"/>
      <c r="DY42" s="90"/>
      <c r="DZ42" s="90"/>
      <c r="EA42" s="90"/>
      <c r="EB42" s="90"/>
      <c r="EC42" s="90"/>
      <c r="ED42" s="90"/>
      <c r="EE42" s="90"/>
      <c r="EF42" s="90"/>
      <c r="EG42" s="90"/>
      <c r="EH42" s="90"/>
      <c r="EI42" s="90"/>
      <c r="EJ42" s="90"/>
      <c r="EK42" s="90"/>
      <c r="EL42" s="90"/>
      <c r="EM42" s="90"/>
      <c r="EN42" s="90"/>
      <c r="EO42" s="90"/>
      <c r="EP42" s="90"/>
      <c r="EQ42" s="90"/>
      <c r="ER42" s="90"/>
      <c r="ES42" s="90"/>
      <c r="ET42" s="90"/>
      <c r="EU42" s="90"/>
      <c r="EV42" s="90"/>
      <c r="EW42" s="90"/>
      <c r="EX42" s="90"/>
      <c r="EY42" s="90"/>
      <c r="EZ42" s="90"/>
      <c r="FA42" s="90"/>
      <c r="FB42" s="90"/>
      <c r="FC42" s="90"/>
      <c r="FD42" s="90"/>
      <c r="FE42" s="90"/>
      <c r="FF42" s="90"/>
      <c r="FG42" s="90"/>
      <c r="FH42" s="90"/>
      <c r="FI42" s="90"/>
      <c r="FJ42" s="90"/>
      <c r="FK42" s="90"/>
      <c r="FL42" s="90"/>
      <c r="FM42" s="90"/>
      <c r="FN42" s="90"/>
      <c r="FO42" s="90"/>
      <c r="FP42" s="90"/>
      <c r="FQ42" s="90"/>
      <c r="FR42" s="90"/>
      <c r="FS42" s="90"/>
      <c r="FT42" s="90"/>
      <c r="FU42" s="90"/>
      <c r="FV42" s="90"/>
      <c r="FW42" s="90"/>
      <c r="FX42" s="90"/>
      <c r="FY42" s="90"/>
      <c r="FZ42" s="90"/>
      <c r="GA42" s="90"/>
      <c r="GB42" s="90"/>
      <c r="GC42" s="90"/>
      <c r="GD42" s="90"/>
      <c r="GE42" s="90"/>
      <c r="GF42" s="90"/>
      <c r="GG42" s="90"/>
      <c r="GH42" s="90"/>
      <c r="GI42" s="90"/>
      <c r="GJ42" s="90"/>
      <c r="GK42" s="90"/>
      <c r="GL42" s="90"/>
      <c r="GM42" s="90"/>
      <c r="GN42" s="90"/>
      <c r="GO42" s="90"/>
      <c r="GP42" s="90"/>
      <c r="GQ42" s="90"/>
      <c r="GR42" s="90"/>
      <c r="GS42" s="90"/>
      <c r="GT42" s="90"/>
      <c r="GU42" s="90"/>
      <c r="GV42" s="90"/>
      <c r="GW42" s="90"/>
      <c r="GX42" s="90"/>
      <c r="GY42" s="90"/>
      <c r="GZ42" s="90"/>
      <c r="HA42" s="90"/>
      <c r="HB42" s="90"/>
      <c r="HC42" s="90"/>
      <c r="HD42" s="90"/>
      <c r="HE42" s="90"/>
      <c r="HF42" s="90"/>
      <c r="HG42" s="90"/>
      <c r="HH42" s="90"/>
      <c r="HI42" s="90"/>
      <c r="HJ42" s="90"/>
      <c r="HK42" s="90"/>
      <c r="HL42" s="90"/>
      <c r="HM42" s="90"/>
      <c r="HN42" s="90"/>
      <c r="HO42" s="90"/>
      <c r="HP42" s="90"/>
      <c r="HQ42" s="90"/>
      <c r="HR42" s="90"/>
      <c r="HS42" s="90"/>
      <c r="HT42" s="90"/>
      <c r="HU42" s="90"/>
      <c r="HV42" s="90"/>
      <c r="HW42" s="90"/>
      <c r="HX42" s="90"/>
      <c r="HY42" s="90"/>
      <c r="HZ42" s="90"/>
      <c r="IA42" s="90"/>
      <c r="IB42" s="90"/>
      <c r="IC42" s="90"/>
      <c r="ID42" s="90"/>
      <c r="IE42" s="90"/>
      <c r="IF42" s="90"/>
      <c r="IG42" s="90"/>
      <c r="IH42" s="90"/>
      <c r="II42" s="90"/>
      <c r="IJ42" s="90"/>
      <c r="IK42" s="90"/>
      <c r="IL42" s="90"/>
      <c r="IM42" s="90"/>
      <c r="IN42" s="90"/>
      <c r="IO42" s="90"/>
      <c r="IP42" s="90"/>
      <c r="IQ42" s="90"/>
      <c r="IR42" s="90"/>
      <c r="IS42" s="90"/>
      <c r="IT42" s="90"/>
      <c r="IU42" s="90"/>
      <c r="IV42" s="90"/>
    </row>
    <row r="43" spans="1:256" s="3" customFormat="1">
      <c r="A43" s="9"/>
      <c r="B43" s="7"/>
      <c r="C43" s="7"/>
      <c r="D43" s="7"/>
      <c r="E43" s="33"/>
      <c r="F43" s="7"/>
      <c r="G43" s="33"/>
      <c r="H43" s="7"/>
      <c r="I43" s="7"/>
      <c r="J43" s="7"/>
      <c r="K43" s="7"/>
      <c r="L43" s="7"/>
      <c r="M43" s="7"/>
      <c r="N43" s="7"/>
      <c r="O43" s="7"/>
      <c r="P43" s="7"/>
      <c r="Q43" s="7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90"/>
      <c r="CZ43" s="90"/>
      <c r="DA43" s="90"/>
      <c r="DB43" s="90"/>
      <c r="DC43" s="90"/>
      <c r="DD43" s="90"/>
      <c r="DE43" s="90"/>
      <c r="DF43" s="90"/>
      <c r="DG43" s="90"/>
      <c r="DH43" s="90"/>
      <c r="DI43" s="90"/>
      <c r="DJ43" s="90"/>
      <c r="DK43" s="90"/>
      <c r="DL43" s="90"/>
      <c r="DM43" s="90"/>
      <c r="DN43" s="90"/>
      <c r="DO43" s="90"/>
      <c r="DP43" s="90"/>
      <c r="DQ43" s="90"/>
      <c r="DR43" s="90"/>
      <c r="DS43" s="90"/>
      <c r="DT43" s="90"/>
      <c r="DU43" s="90"/>
      <c r="DV43" s="90"/>
      <c r="DW43" s="90"/>
      <c r="DX43" s="90"/>
      <c r="DY43" s="90"/>
      <c r="DZ43" s="90"/>
      <c r="EA43" s="90"/>
      <c r="EB43" s="90"/>
      <c r="EC43" s="90"/>
      <c r="ED43" s="90"/>
      <c r="EE43" s="90"/>
      <c r="EF43" s="90"/>
      <c r="EG43" s="90"/>
      <c r="EH43" s="90"/>
      <c r="EI43" s="90"/>
      <c r="EJ43" s="90"/>
      <c r="EK43" s="90"/>
      <c r="EL43" s="90"/>
      <c r="EM43" s="90"/>
      <c r="EN43" s="90"/>
      <c r="EO43" s="90"/>
      <c r="EP43" s="90"/>
      <c r="EQ43" s="90"/>
      <c r="ER43" s="90"/>
      <c r="ES43" s="90"/>
      <c r="ET43" s="90"/>
      <c r="EU43" s="90"/>
      <c r="EV43" s="90"/>
      <c r="EW43" s="90"/>
      <c r="EX43" s="90"/>
      <c r="EY43" s="90"/>
      <c r="EZ43" s="90"/>
      <c r="FA43" s="90"/>
      <c r="FB43" s="90"/>
      <c r="FC43" s="90"/>
      <c r="FD43" s="90"/>
      <c r="FE43" s="90"/>
      <c r="FF43" s="90"/>
      <c r="FG43" s="90"/>
      <c r="FH43" s="90"/>
      <c r="FI43" s="90"/>
      <c r="FJ43" s="90"/>
      <c r="FK43" s="90"/>
      <c r="FL43" s="90"/>
      <c r="FM43" s="90"/>
      <c r="FN43" s="90"/>
      <c r="FO43" s="90"/>
      <c r="FP43" s="90"/>
      <c r="FQ43" s="90"/>
      <c r="FR43" s="90"/>
      <c r="FS43" s="90"/>
      <c r="FT43" s="90"/>
      <c r="FU43" s="90"/>
      <c r="FV43" s="90"/>
      <c r="FW43" s="90"/>
      <c r="FX43" s="90"/>
      <c r="FY43" s="90"/>
      <c r="FZ43" s="90"/>
      <c r="GA43" s="90"/>
      <c r="GB43" s="90"/>
      <c r="GC43" s="90"/>
      <c r="GD43" s="90"/>
      <c r="GE43" s="90"/>
      <c r="GF43" s="90"/>
      <c r="GG43" s="90"/>
      <c r="GH43" s="90"/>
      <c r="GI43" s="90"/>
      <c r="GJ43" s="90"/>
      <c r="GK43" s="90"/>
      <c r="GL43" s="90"/>
      <c r="GM43" s="90"/>
      <c r="GN43" s="90"/>
      <c r="GO43" s="90"/>
      <c r="GP43" s="90"/>
      <c r="GQ43" s="90"/>
      <c r="GR43" s="90"/>
      <c r="GS43" s="90"/>
      <c r="GT43" s="90"/>
      <c r="GU43" s="90"/>
      <c r="GV43" s="90"/>
      <c r="GW43" s="90"/>
      <c r="GX43" s="90"/>
      <c r="GY43" s="90"/>
      <c r="GZ43" s="90"/>
      <c r="HA43" s="90"/>
      <c r="HB43" s="90"/>
      <c r="HC43" s="90"/>
      <c r="HD43" s="90"/>
      <c r="HE43" s="90"/>
      <c r="HF43" s="90"/>
      <c r="HG43" s="90"/>
      <c r="HH43" s="90"/>
      <c r="HI43" s="90"/>
      <c r="HJ43" s="90"/>
      <c r="HK43" s="90"/>
      <c r="HL43" s="90"/>
      <c r="HM43" s="90"/>
      <c r="HN43" s="90"/>
      <c r="HO43" s="90"/>
      <c r="HP43" s="90"/>
      <c r="HQ43" s="90"/>
      <c r="HR43" s="90"/>
      <c r="HS43" s="90"/>
      <c r="HT43" s="90"/>
      <c r="HU43" s="90"/>
      <c r="HV43" s="90"/>
      <c r="HW43" s="90"/>
      <c r="HX43" s="90"/>
      <c r="HY43" s="90"/>
      <c r="HZ43" s="90"/>
      <c r="IA43" s="90"/>
      <c r="IB43" s="90"/>
      <c r="IC43" s="90"/>
      <c r="ID43" s="90"/>
      <c r="IE43" s="90"/>
      <c r="IF43" s="90"/>
      <c r="IG43" s="90"/>
      <c r="IH43" s="90"/>
      <c r="II43" s="90"/>
      <c r="IJ43" s="90"/>
      <c r="IK43" s="90"/>
      <c r="IL43" s="90"/>
      <c r="IM43" s="90"/>
      <c r="IN43" s="90"/>
      <c r="IO43" s="90"/>
      <c r="IP43" s="90"/>
      <c r="IQ43" s="90"/>
      <c r="IR43" s="90"/>
      <c r="IS43" s="90"/>
      <c r="IT43" s="90"/>
      <c r="IU43" s="90"/>
      <c r="IV43" s="90"/>
    </row>
    <row r="44" spans="1:256">
      <c r="A44" s="2"/>
    </row>
    <row r="45" spans="1:256">
      <c r="A45" s="2"/>
    </row>
    <row r="46" spans="1:256">
      <c r="A46" s="2"/>
    </row>
    <row r="47" spans="1:256">
      <c r="A47" s="2"/>
    </row>
    <row r="48" spans="1:256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</sheetData>
  <sheetProtection password="CA6A" sheet="1"/>
  <mergeCells count="13">
    <mergeCell ref="L4:M4"/>
    <mergeCell ref="F3:M3"/>
    <mergeCell ref="A1:Q1"/>
    <mergeCell ref="N3:O4"/>
    <mergeCell ref="P3:Q4"/>
    <mergeCell ref="H4:I4"/>
    <mergeCell ref="J4:K4"/>
    <mergeCell ref="A3:A5"/>
    <mergeCell ref="F4:G4"/>
    <mergeCell ref="D3:E4"/>
    <mergeCell ref="B3:B5"/>
    <mergeCell ref="C3:C5"/>
    <mergeCell ref="A15:B15"/>
  </mergeCells>
  <phoneticPr fontId="2" type="noConversion"/>
  <printOptions horizontalCentered="1"/>
  <pageMargins left="0.36" right="0.28000000000000003" top="0.69" bottom="0.23" header="0.28999999999999998" footer="0.16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Q67"/>
  <sheetViews>
    <sheetView zoomScaleSheetLayoutView="70" workbookViewId="0">
      <pane xSplit="2" ySplit="5" topLeftCell="C6" activePane="bottomRight" state="frozen"/>
      <selection activeCell="C27" sqref="C27"/>
      <selection pane="topRight" activeCell="C27" sqref="C27"/>
      <selection pane="bottomLeft" activeCell="C27" sqref="C27"/>
      <selection pane="bottomRight" activeCell="C27" sqref="C27"/>
    </sheetView>
  </sheetViews>
  <sheetFormatPr defaultRowHeight="13.5"/>
  <cols>
    <col min="1" max="1" width="8.21875" style="1" customWidth="1"/>
    <col min="2" max="2" width="5.5546875" style="4" customWidth="1"/>
    <col min="3" max="4" width="8.21875" style="4" customWidth="1"/>
    <col min="5" max="5" width="8.21875" style="31" customWidth="1"/>
    <col min="6" max="6" width="8.21875" style="4" customWidth="1"/>
    <col min="7" max="7" width="8.21875" style="31" customWidth="1"/>
    <col min="8" max="17" width="8.21875" style="4" customWidth="1"/>
    <col min="18" max="16384" width="8.88671875" style="86"/>
  </cols>
  <sheetData>
    <row r="1" spans="1:17" ht="27">
      <c r="A1" s="146" t="s">
        <v>51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16.5">
      <c r="A2" s="42"/>
      <c r="Q2" s="24" t="s">
        <v>69</v>
      </c>
    </row>
    <row r="3" spans="1:17" ht="19.149999999999999" customHeight="1">
      <c r="A3" s="159" t="s">
        <v>41</v>
      </c>
      <c r="B3" s="162" t="s">
        <v>89</v>
      </c>
      <c r="C3" s="165" t="s">
        <v>1</v>
      </c>
      <c r="D3" s="151" t="s">
        <v>4</v>
      </c>
      <c r="E3" s="152"/>
      <c r="F3" s="168" t="s">
        <v>37</v>
      </c>
      <c r="G3" s="169"/>
      <c r="H3" s="169"/>
      <c r="I3" s="169"/>
      <c r="J3" s="169"/>
      <c r="K3" s="169"/>
      <c r="L3" s="169"/>
      <c r="M3" s="170"/>
      <c r="N3" s="151" t="s">
        <v>38</v>
      </c>
      <c r="O3" s="152"/>
      <c r="P3" s="151" t="s">
        <v>6</v>
      </c>
      <c r="Q3" s="157"/>
    </row>
    <row r="4" spans="1:17" ht="19.149999999999999" customHeight="1">
      <c r="A4" s="160"/>
      <c r="B4" s="163"/>
      <c r="C4" s="166"/>
      <c r="D4" s="153"/>
      <c r="E4" s="154"/>
      <c r="F4" s="171" t="s">
        <v>23</v>
      </c>
      <c r="G4" s="172"/>
      <c r="H4" s="171" t="s">
        <v>23</v>
      </c>
      <c r="I4" s="172"/>
      <c r="J4" s="171" t="s">
        <v>23</v>
      </c>
      <c r="K4" s="172"/>
      <c r="L4" s="171" t="s">
        <v>5</v>
      </c>
      <c r="M4" s="172"/>
      <c r="N4" s="153"/>
      <c r="O4" s="154"/>
      <c r="P4" s="153"/>
      <c r="Q4" s="158"/>
    </row>
    <row r="5" spans="1:17" ht="19.149999999999999" customHeight="1">
      <c r="A5" s="161"/>
      <c r="B5" s="164"/>
      <c r="C5" s="167"/>
      <c r="D5" s="38"/>
      <c r="E5" s="39" t="s">
        <v>3</v>
      </c>
      <c r="F5" s="40" t="s">
        <v>85</v>
      </c>
      <c r="G5" s="39" t="s">
        <v>3</v>
      </c>
      <c r="H5" s="40" t="s">
        <v>77</v>
      </c>
      <c r="I5" s="41" t="s">
        <v>3</v>
      </c>
      <c r="J5" s="40" t="s">
        <v>86</v>
      </c>
      <c r="K5" s="41" t="s">
        <v>3</v>
      </c>
      <c r="L5" s="38"/>
      <c r="M5" s="41" t="s">
        <v>3</v>
      </c>
      <c r="N5" s="38"/>
      <c r="O5" s="41" t="s">
        <v>3</v>
      </c>
      <c r="P5" s="38"/>
      <c r="Q5" s="43" t="s">
        <v>3</v>
      </c>
    </row>
    <row r="6" spans="1:17" ht="23.25" customHeight="1">
      <c r="A6" s="44" t="s">
        <v>59</v>
      </c>
      <c r="B6" s="29">
        <f>SUM(B7,B9)</f>
        <v>40</v>
      </c>
      <c r="C6" s="30">
        <f>SUM(C7:C9)</f>
        <v>85998</v>
      </c>
      <c r="D6" s="30">
        <f>SUM(D7:D9)</f>
        <v>54652</v>
      </c>
      <c r="E6" s="37">
        <f>D6/C6*100</f>
        <v>63.550315123607525</v>
      </c>
      <c r="F6" s="30">
        <f>SUM(F7:F9)</f>
        <v>8837</v>
      </c>
      <c r="G6" s="37">
        <f t="shared" ref="G6:G26" si="0">F6/$L6*100</f>
        <v>18.442306488302691</v>
      </c>
      <c r="H6" s="30">
        <f>SUM(H7:H9)</f>
        <v>27542</v>
      </c>
      <c r="I6" s="37">
        <f t="shared" ref="I6:I26" si="1">H6/$L6*100</f>
        <v>57.478556670910116</v>
      </c>
      <c r="J6" s="30">
        <f>SUM(J7:J9)</f>
        <v>11538</v>
      </c>
      <c r="K6" s="37">
        <f t="shared" ref="K6:K26" si="2">J6/$L6*100</f>
        <v>24.079136840787193</v>
      </c>
      <c r="L6" s="30">
        <f>SUM(L7:L9)</f>
        <v>47917</v>
      </c>
      <c r="M6" s="37">
        <f t="shared" ref="M6:M26" si="3">L6/$D6*100</f>
        <v>87.676571763155962</v>
      </c>
      <c r="N6" s="30">
        <f>SUM(N7:N9)</f>
        <v>3819</v>
      </c>
      <c r="O6" s="37">
        <f t="shared" ref="O6:O26" si="4">N6/$D6*100</f>
        <v>6.987850398887506</v>
      </c>
      <c r="P6" s="30">
        <f>SUM(P7:P9)</f>
        <v>31346</v>
      </c>
      <c r="Q6" s="45">
        <f t="shared" ref="Q6:Q23" si="5">P6/$C6*100</f>
        <v>36.449684876392475</v>
      </c>
    </row>
    <row r="7" spans="1:17" ht="23.25" customHeight="1">
      <c r="A7" s="46" t="s">
        <v>61</v>
      </c>
      <c r="B7" s="26"/>
      <c r="C7" s="27">
        <v>11519</v>
      </c>
      <c r="D7" s="27">
        <v>11516</v>
      </c>
      <c r="E7" s="25">
        <f>D7/C7*100</f>
        <v>99.973956072575746</v>
      </c>
      <c r="F7" s="27">
        <v>2202</v>
      </c>
      <c r="G7" s="25">
        <f t="shared" si="0"/>
        <v>28.317901234567898</v>
      </c>
      <c r="H7" s="27">
        <v>5532</v>
      </c>
      <c r="I7" s="25">
        <f t="shared" si="1"/>
        <v>71.141975308641975</v>
      </c>
      <c r="J7" s="27">
        <v>42</v>
      </c>
      <c r="K7" s="25">
        <f t="shared" si="2"/>
        <v>0.54012345679012341</v>
      </c>
      <c r="L7" s="27">
        <f>F7+H7+J7</f>
        <v>7776</v>
      </c>
      <c r="M7" s="25">
        <f t="shared" si="3"/>
        <v>67.523445640847513</v>
      </c>
      <c r="N7" s="27">
        <v>824</v>
      </c>
      <c r="O7" s="25">
        <f t="shared" si="4"/>
        <v>7.1552622438346649</v>
      </c>
      <c r="P7" s="35">
        <v>3</v>
      </c>
      <c r="Q7" s="47">
        <f t="shared" si="5"/>
        <v>2.6043927424255577E-2</v>
      </c>
    </row>
    <row r="8" spans="1:17" ht="23.25" customHeight="1">
      <c r="A8" s="46" t="s">
        <v>60</v>
      </c>
      <c r="B8" s="26"/>
      <c r="C8" s="27">
        <v>531</v>
      </c>
      <c r="D8" s="27">
        <v>501</v>
      </c>
      <c r="E8" s="25">
        <f>D8/C8*100</f>
        <v>94.350282485875709</v>
      </c>
      <c r="F8" s="27">
        <v>104</v>
      </c>
      <c r="G8" s="25">
        <f t="shared" si="0"/>
        <v>23.690205011389523</v>
      </c>
      <c r="H8" s="27">
        <v>224</v>
      </c>
      <c r="I8" s="25">
        <f t="shared" si="1"/>
        <v>51.025056947608206</v>
      </c>
      <c r="J8" s="27">
        <v>111</v>
      </c>
      <c r="K8" s="25">
        <f t="shared" si="2"/>
        <v>25.284738041002282</v>
      </c>
      <c r="L8" s="27">
        <f>F8+H8+J8</f>
        <v>439</v>
      </c>
      <c r="M8" s="25">
        <f>L8/$D8*100</f>
        <v>87.624750499001991</v>
      </c>
      <c r="N8" s="27">
        <f>D8-L8</f>
        <v>62</v>
      </c>
      <c r="O8" s="25">
        <f>N8/$D8*100</f>
        <v>12.375249500998004</v>
      </c>
      <c r="P8" s="35">
        <f>C8-D8</f>
        <v>30</v>
      </c>
      <c r="Q8" s="47">
        <f>P8/$C8*100</f>
        <v>5.6497175141242941</v>
      </c>
    </row>
    <row r="9" spans="1:17" ht="23.25" customHeight="1">
      <c r="A9" s="44" t="s">
        <v>39</v>
      </c>
      <c r="B9" s="29">
        <f>SUM(B10:B25)</f>
        <v>40</v>
      </c>
      <c r="C9" s="30">
        <f>SUM(C10:C25)</f>
        <v>73948</v>
      </c>
      <c r="D9" s="30">
        <f>SUM(D10:D26)</f>
        <v>42635</v>
      </c>
      <c r="E9" s="37">
        <f>D9/C9*100</f>
        <v>57.655379455833831</v>
      </c>
      <c r="F9" s="30">
        <f>SUM(F10:F26)</f>
        <v>6531</v>
      </c>
      <c r="G9" s="37">
        <f t="shared" si="0"/>
        <v>16.45005289406075</v>
      </c>
      <c r="H9" s="30">
        <f>SUM(H10:H26)</f>
        <v>21786</v>
      </c>
      <c r="I9" s="37">
        <f t="shared" si="1"/>
        <v>54.873809883633065</v>
      </c>
      <c r="J9" s="30">
        <f>SUM(J10:J26)</f>
        <v>11385</v>
      </c>
      <c r="K9" s="37">
        <f t="shared" si="2"/>
        <v>28.676137222306181</v>
      </c>
      <c r="L9" s="30">
        <f>SUM(L10:L26)</f>
        <v>39702</v>
      </c>
      <c r="M9" s="37">
        <f t="shared" si="3"/>
        <v>93.120675501348657</v>
      </c>
      <c r="N9" s="30">
        <f>SUM(N10:N26)</f>
        <v>2933</v>
      </c>
      <c r="O9" s="37">
        <f t="shared" si="4"/>
        <v>6.8793244986513429</v>
      </c>
      <c r="P9" s="30">
        <f>SUM(P10:P26)</f>
        <v>31313</v>
      </c>
      <c r="Q9" s="45">
        <f t="shared" si="5"/>
        <v>42.344620544166176</v>
      </c>
    </row>
    <row r="10" spans="1:17" ht="23.25" customHeight="1">
      <c r="A10" s="46" t="s">
        <v>7</v>
      </c>
      <c r="B10" s="48">
        <v>6</v>
      </c>
      <c r="C10" s="49">
        <v>9500</v>
      </c>
      <c r="D10" s="28">
        <v>5088</v>
      </c>
      <c r="E10" s="50">
        <f>D10/C10*100</f>
        <v>53.557894736842101</v>
      </c>
      <c r="F10" s="28">
        <v>994</v>
      </c>
      <c r="G10" s="50">
        <f t="shared" si="0"/>
        <v>21.041490262489415</v>
      </c>
      <c r="H10" s="28">
        <v>2562</v>
      </c>
      <c r="I10" s="50">
        <f t="shared" si="1"/>
        <v>54.233700254022011</v>
      </c>
      <c r="J10" s="28">
        <v>1168</v>
      </c>
      <c r="K10" s="50">
        <f t="shared" si="2"/>
        <v>24.724809483488571</v>
      </c>
      <c r="L10" s="28">
        <f>F10+H10+J10</f>
        <v>4724</v>
      </c>
      <c r="M10" s="50">
        <f>L10/$D10*100</f>
        <v>92.845911949685529</v>
      </c>
      <c r="N10" s="28">
        <f t="shared" ref="N10:N26" si="6">D10-L10</f>
        <v>364</v>
      </c>
      <c r="O10" s="50">
        <f>N10/$D10*100</f>
        <v>7.1540880503144653</v>
      </c>
      <c r="P10" s="28">
        <f>C10-D10</f>
        <v>4412</v>
      </c>
      <c r="Q10" s="51">
        <f t="shared" si="5"/>
        <v>46.442105263157899</v>
      </c>
    </row>
    <row r="11" spans="1:17" ht="23.25" customHeight="1">
      <c r="A11" s="46" t="s">
        <v>8</v>
      </c>
      <c r="B11" s="48">
        <v>2</v>
      </c>
      <c r="C11" s="49">
        <v>3532</v>
      </c>
      <c r="D11" s="28">
        <v>2094</v>
      </c>
      <c r="E11" s="50">
        <f t="shared" ref="E11:E24" si="7">D11/C11*100</f>
        <v>59.286523216308041</v>
      </c>
      <c r="F11" s="28">
        <v>488</v>
      </c>
      <c r="G11" s="50">
        <f t="shared" si="0"/>
        <v>24.847250509164969</v>
      </c>
      <c r="H11" s="28">
        <v>969</v>
      </c>
      <c r="I11" s="50">
        <f t="shared" si="1"/>
        <v>49.338085539714868</v>
      </c>
      <c r="J11" s="28">
        <v>507</v>
      </c>
      <c r="K11" s="50">
        <f t="shared" si="2"/>
        <v>25.814663951120163</v>
      </c>
      <c r="L11" s="28">
        <f t="shared" ref="L11:L26" si="8">F11+H11+J11</f>
        <v>1964</v>
      </c>
      <c r="M11" s="50">
        <f>L11/$D11*100</f>
        <v>93.791786055396372</v>
      </c>
      <c r="N11" s="28">
        <f t="shared" si="6"/>
        <v>130</v>
      </c>
      <c r="O11" s="50">
        <f t="shared" si="4"/>
        <v>6.2082139446036289</v>
      </c>
      <c r="P11" s="28">
        <f t="shared" ref="P11:P24" si="9">C11-D11</f>
        <v>1438</v>
      </c>
      <c r="Q11" s="51">
        <f t="shared" si="5"/>
        <v>40.713476783691959</v>
      </c>
    </row>
    <row r="12" spans="1:17" ht="23.25" customHeight="1">
      <c r="A12" s="46" t="s">
        <v>9</v>
      </c>
      <c r="B12" s="48">
        <v>2</v>
      </c>
      <c r="C12" s="49">
        <v>3079</v>
      </c>
      <c r="D12" s="28">
        <v>1797</v>
      </c>
      <c r="E12" s="50">
        <f t="shared" si="7"/>
        <v>58.363104904189669</v>
      </c>
      <c r="F12" s="28">
        <v>401</v>
      </c>
      <c r="G12" s="50">
        <f t="shared" si="0"/>
        <v>24.436319317489335</v>
      </c>
      <c r="H12" s="28">
        <v>795</v>
      </c>
      <c r="I12" s="50">
        <f t="shared" si="1"/>
        <v>48.446069469835464</v>
      </c>
      <c r="J12" s="28">
        <v>445</v>
      </c>
      <c r="K12" s="50">
        <f t="shared" si="2"/>
        <v>27.117611212675197</v>
      </c>
      <c r="L12" s="28">
        <f t="shared" si="8"/>
        <v>1641</v>
      </c>
      <c r="M12" s="50">
        <f>L12/$D12*100</f>
        <v>91.318864774624373</v>
      </c>
      <c r="N12" s="28">
        <f t="shared" si="6"/>
        <v>156</v>
      </c>
      <c r="O12" s="50">
        <f t="shared" si="4"/>
        <v>8.6811352253756269</v>
      </c>
      <c r="P12" s="28">
        <f t="shared" si="9"/>
        <v>1282</v>
      </c>
      <c r="Q12" s="51">
        <f t="shared" si="5"/>
        <v>41.636895095810331</v>
      </c>
    </row>
    <row r="13" spans="1:17" ht="23.25" customHeight="1">
      <c r="A13" s="46" t="s">
        <v>10</v>
      </c>
      <c r="B13" s="48">
        <v>2</v>
      </c>
      <c r="C13" s="49">
        <v>2600</v>
      </c>
      <c r="D13" s="28">
        <v>1478</v>
      </c>
      <c r="E13" s="50">
        <f t="shared" si="7"/>
        <v>56.846153846153847</v>
      </c>
      <c r="F13" s="28">
        <v>315</v>
      </c>
      <c r="G13" s="50">
        <f t="shared" si="0"/>
        <v>23.385300668151448</v>
      </c>
      <c r="H13" s="28">
        <v>701</v>
      </c>
      <c r="I13" s="50">
        <f t="shared" si="1"/>
        <v>52.041573867854495</v>
      </c>
      <c r="J13" s="28">
        <v>331</v>
      </c>
      <c r="K13" s="50">
        <f t="shared" si="2"/>
        <v>24.57312546399406</v>
      </c>
      <c r="L13" s="28">
        <f t="shared" si="8"/>
        <v>1347</v>
      </c>
      <c r="M13" s="50">
        <f t="shared" si="3"/>
        <v>91.136671177266578</v>
      </c>
      <c r="N13" s="28">
        <f t="shared" si="6"/>
        <v>131</v>
      </c>
      <c r="O13" s="50">
        <f t="shared" si="4"/>
        <v>8.8633288227334237</v>
      </c>
      <c r="P13" s="28">
        <f t="shared" si="9"/>
        <v>1122</v>
      </c>
      <c r="Q13" s="51">
        <f t="shared" si="5"/>
        <v>43.153846153846153</v>
      </c>
    </row>
    <row r="14" spans="1:17" ht="23.25" customHeight="1">
      <c r="A14" s="46" t="s">
        <v>11</v>
      </c>
      <c r="B14" s="48">
        <v>1</v>
      </c>
      <c r="C14" s="49">
        <v>1807</v>
      </c>
      <c r="D14" s="28">
        <v>1137</v>
      </c>
      <c r="E14" s="50">
        <f t="shared" si="7"/>
        <v>62.921970116214723</v>
      </c>
      <c r="F14" s="28">
        <v>125</v>
      </c>
      <c r="G14" s="50">
        <f t="shared" si="0"/>
        <v>11.870845204178536</v>
      </c>
      <c r="H14" s="28">
        <v>576</v>
      </c>
      <c r="I14" s="50">
        <f t="shared" si="1"/>
        <v>54.700854700854705</v>
      </c>
      <c r="J14" s="28">
        <v>352</v>
      </c>
      <c r="K14" s="50">
        <f t="shared" si="2"/>
        <v>33.428300094966765</v>
      </c>
      <c r="L14" s="28">
        <f t="shared" si="8"/>
        <v>1053</v>
      </c>
      <c r="M14" s="50">
        <f t="shared" si="3"/>
        <v>92.612137203166228</v>
      </c>
      <c r="N14" s="28">
        <f t="shared" si="6"/>
        <v>84</v>
      </c>
      <c r="O14" s="50">
        <f t="shared" si="4"/>
        <v>7.3878627968337733</v>
      </c>
      <c r="P14" s="28">
        <f t="shared" si="9"/>
        <v>670</v>
      </c>
      <c r="Q14" s="51">
        <f t="shared" si="5"/>
        <v>37.078029883785277</v>
      </c>
    </row>
    <row r="15" spans="1:17" ht="23.25" customHeight="1">
      <c r="A15" s="46" t="s">
        <v>12</v>
      </c>
      <c r="B15" s="48">
        <v>2</v>
      </c>
      <c r="C15" s="49">
        <v>2329</v>
      </c>
      <c r="D15" s="28">
        <v>1469</v>
      </c>
      <c r="E15" s="50">
        <f t="shared" si="7"/>
        <v>63.074280807213398</v>
      </c>
      <c r="F15" s="28">
        <v>168</v>
      </c>
      <c r="G15" s="50">
        <f t="shared" si="0"/>
        <v>12.612612612612612</v>
      </c>
      <c r="H15" s="28">
        <v>728</v>
      </c>
      <c r="I15" s="50">
        <f t="shared" si="1"/>
        <v>54.654654654654657</v>
      </c>
      <c r="J15" s="28">
        <v>436</v>
      </c>
      <c r="K15" s="50">
        <f t="shared" si="2"/>
        <v>32.732732732732735</v>
      </c>
      <c r="L15" s="28">
        <f t="shared" si="8"/>
        <v>1332</v>
      </c>
      <c r="M15" s="50">
        <f t="shared" si="3"/>
        <v>90.673927842069432</v>
      </c>
      <c r="N15" s="28">
        <f t="shared" si="6"/>
        <v>137</v>
      </c>
      <c r="O15" s="50">
        <f t="shared" si="4"/>
        <v>9.3260721579305645</v>
      </c>
      <c r="P15" s="28">
        <f t="shared" si="9"/>
        <v>860</v>
      </c>
      <c r="Q15" s="51">
        <f t="shared" si="5"/>
        <v>36.925719192786602</v>
      </c>
    </row>
    <row r="16" spans="1:17" ht="23.25" customHeight="1">
      <c r="A16" s="46" t="s">
        <v>13</v>
      </c>
      <c r="B16" s="48">
        <v>1</v>
      </c>
      <c r="C16" s="49">
        <v>858</v>
      </c>
      <c r="D16" s="28">
        <v>551</v>
      </c>
      <c r="E16" s="50">
        <f t="shared" si="7"/>
        <v>64.219114219114218</v>
      </c>
      <c r="F16" s="28">
        <v>65</v>
      </c>
      <c r="G16" s="50">
        <f t="shared" si="0"/>
        <v>12.94820717131474</v>
      </c>
      <c r="H16" s="28">
        <v>282</v>
      </c>
      <c r="I16" s="50">
        <f t="shared" si="1"/>
        <v>56.175298804780873</v>
      </c>
      <c r="J16" s="28">
        <v>155</v>
      </c>
      <c r="K16" s="50">
        <f t="shared" si="2"/>
        <v>30.876494023904382</v>
      </c>
      <c r="L16" s="28">
        <f t="shared" si="8"/>
        <v>502</v>
      </c>
      <c r="M16" s="50">
        <f t="shared" si="3"/>
        <v>91.107078039927401</v>
      </c>
      <c r="N16" s="28">
        <f t="shared" si="6"/>
        <v>49</v>
      </c>
      <c r="O16" s="50">
        <f t="shared" si="4"/>
        <v>8.8929219600725951</v>
      </c>
      <c r="P16" s="28">
        <f t="shared" si="9"/>
        <v>307</v>
      </c>
      <c r="Q16" s="51">
        <f t="shared" si="5"/>
        <v>35.780885780885782</v>
      </c>
    </row>
    <row r="17" spans="1:17" ht="23.25" customHeight="1">
      <c r="A17" s="46" t="s">
        <v>14</v>
      </c>
      <c r="B17" s="48">
        <v>3</v>
      </c>
      <c r="C17" s="49">
        <v>3617</v>
      </c>
      <c r="D17" s="28">
        <v>2355</v>
      </c>
      <c r="E17" s="50">
        <f t="shared" si="7"/>
        <v>65.109206524744266</v>
      </c>
      <c r="F17" s="28">
        <v>318</v>
      </c>
      <c r="G17" s="50">
        <f t="shared" si="0"/>
        <v>15.028355387523629</v>
      </c>
      <c r="H17" s="28">
        <v>1074</v>
      </c>
      <c r="I17" s="50">
        <f t="shared" si="1"/>
        <v>50.756143667296783</v>
      </c>
      <c r="J17" s="28">
        <v>724</v>
      </c>
      <c r="K17" s="50">
        <f t="shared" si="2"/>
        <v>34.215500945179585</v>
      </c>
      <c r="L17" s="28">
        <f t="shared" si="8"/>
        <v>2116</v>
      </c>
      <c r="M17" s="50">
        <f t="shared" si="3"/>
        <v>89.85138004246285</v>
      </c>
      <c r="N17" s="28">
        <f t="shared" si="6"/>
        <v>239</v>
      </c>
      <c r="O17" s="50">
        <f t="shared" si="4"/>
        <v>10.148619957537155</v>
      </c>
      <c r="P17" s="28">
        <f t="shared" si="9"/>
        <v>1262</v>
      </c>
      <c r="Q17" s="51">
        <f t="shared" si="5"/>
        <v>34.890793475255741</v>
      </c>
    </row>
    <row r="18" spans="1:17" ht="23.25" customHeight="1">
      <c r="A18" s="46" t="s">
        <v>15</v>
      </c>
      <c r="B18" s="48">
        <v>3</v>
      </c>
      <c r="C18" s="49">
        <v>4672</v>
      </c>
      <c r="D18" s="28">
        <v>2866</v>
      </c>
      <c r="E18" s="50">
        <f t="shared" si="7"/>
        <v>61.344178082191782</v>
      </c>
      <c r="F18" s="28">
        <v>369</v>
      </c>
      <c r="G18" s="50">
        <f t="shared" si="0"/>
        <v>14.127105666156204</v>
      </c>
      <c r="H18" s="28">
        <v>1350</v>
      </c>
      <c r="I18" s="50">
        <f t="shared" si="1"/>
        <v>51.684532924961715</v>
      </c>
      <c r="J18" s="28">
        <v>893</v>
      </c>
      <c r="K18" s="50">
        <f t="shared" si="2"/>
        <v>34.188361408882088</v>
      </c>
      <c r="L18" s="28">
        <f t="shared" si="8"/>
        <v>2612</v>
      </c>
      <c r="M18" s="50">
        <f t="shared" si="3"/>
        <v>91.137473831123515</v>
      </c>
      <c r="N18" s="28">
        <f t="shared" si="6"/>
        <v>254</v>
      </c>
      <c r="O18" s="50">
        <f t="shared" si="4"/>
        <v>8.8625261688764834</v>
      </c>
      <c r="P18" s="28">
        <f t="shared" si="9"/>
        <v>1806</v>
      </c>
      <c r="Q18" s="51">
        <f t="shared" si="5"/>
        <v>38.655821917808218</v>
      </c>
    </row>
    <row r="19" spans="1:17" ht="23.25" customHeight="1">
      <c r="A19" s="46" t="s">
        <v>16</v>
      </c>
      <c r="B19" s="48">
        <v>2</v>
      </c>
      <c r="C19" s="49">
        <v>3506</v>
      </c>
      <c r="D19" s="28">
        <v>2112</v>
      </c>
      <c r="E19" s="50">
        <f t="shared" si="7"/>
        <v>60.239589275527671</v>
      </c>
      <c r="F19" s="28">
        <v>183</v>
      </c>
      <c r="G19" s="50">
        <f t="shared" si="0"/>
        <v>9.4329896907216497</v>
      </c>
      <c r="H19" s="28">
        <v>1168</v>
      </c>
      <c r="I19" s="50">
        <f t="shared" si="1"/>
        <v>60.206185567010309</v>
      </c>
      <c r="J19" s="28">
        <v>589</v>
      </c>
      <c r="K19" s="50">
        <f t="shared" si="2"/>
        <v>30.36082474226804</v>
      </c>
      <c r="L19" s="28">
        <f t="shared" si="8"/>
        <v>1940</v>
      </c>
      <c r="M19" s="50">
        <f t="shared" si="3"/>
        <v>91.856060606060609</v>
      </c>
      <c r="N19" s="28">
        <f t="shared" si="6"/>
        <v>172</v>
      </c>
      <c r="O19" s="50">
        <f t="shared" si="4"/>
        <v>8.1439393939393945</v>
      </c>
      <c r="P19" s="28">
        <f t="shared" si="9"/>
        <v>1394</v>
      </c>
      <c r="Q19" s="51">
        <f t="shared" si="5"/>
        <v>39.760410724472337</v>
      </c>
    </row>
    <row r="20" spans="1:17" ht="23.25" customHeight="1">
      <c r="A20" s="46" t="s">
        <v>17</v>
      </c>
      <c r="B20" s="48">
        <v>1</v>
      </c>
      <c r="C20" s="49">
        <v>2612</v>
      </c>
      <c r="D20" s="28">
        <v>1482</v>
      </c>
      <c r="E20" s="50">
        <f t="shared" si="7"/>
        <v>56.738131699846861</v>
      </c>
      <c r="F20" s="28">
        <v>277</v>
      </c>
      <c r="G20" s="50">
        <f t="shared" si="0"/>
        <v>20.44280442804428</v>
      </c>
      <c r="H20" s="28">
        <v>722</v>
      </c>
      <c r="I20" s="50">
        <f t="shared" si="1"/>
        <v>53.284132841328415</v>
      </c>
      <c r="J20" s="28">
        <v>356</v>
      </c>
      <c r="K20" s="50">
        <f t="shared" si="2"/>
        <v>26.273062730627306</v>
      </c>
      <c r="L20" s="28">
        <f t="shared" si="8"/>
        <v>1355</v>
      </c>
      <c r="M20" s="50">
        <f t="shared" si="3"/>
        <v>91.43049932523617</v>
      </c>
      <c r="N20" s="28">
        <f t="shared" si="6"/>
        <v>127</v>
      </c>
      <c r="O20" s="50">
        <f t="shared" si="4"/>
        <v>8.5695006747638338</v>
      </c>
      <c r="P20" s="28">
        <f t="shared" si="9"/>
        <v>1130</v>
      </c>
      <c r="Q20" s="51">
        <f t="shared" si="5"/>
        <v>43.261868300153139</v>
      </c>
    </row>
    <row r="21" spans="1:17" ht="23.25" customHeight="1">
      <c r="A21" s="46" t="s">
        <v>18</v>
      </c>
      <c r="B21" s="48">
        <v>6</v>
      </c>
      <c r="C21" s="49">
        <v>18581</v>
      </c>
      <c r="D21" s="28">
        <v>10274</v>
      </c>
      <c r="E21" s="50">
        <f t="shared" si="7"/>
        <v>55.293041278725582</v>
      </c>
      <c r="F21" s="28">
        <v>1565</v>
      </c>
      <c r="G21" s="50">
        <f t="shared" si="0"/>
        <v>16.044699610416238</v>
      </c>
      <c r="H21" s="28">
        <v>5807</v>
      </c>
      <c r="I21" s="50">
        <f t="shared" si="1"/>
        <v>59.534549928234568</v>
      </c>
      <c r="J21" s="28">
        <v>2382</v>
      </c>
      <c r="K21" s="50">
        <f t="shared" si="2"/>
        <v>24.42075046134919</v>
      </c>
      <c r="L21" s="28">
        <f t="shared" si="8"/>
        <v>9754</v>
      </c>
      <c r="M21" s="50">
        <f t="shared" si="3"/>
        <v>94.938680163519564</v>
      </c>
      <c r="N21" s="28">
        <f t="shared" si="6"/>
        <v>520</v>
      </c>
      <c r="O21" s="50">
        <f t="shared" si="4"/>
        <v>5.0613198364804362</v>
      </c>
      <c r="P21" s="28">
        <f t="shared" si="9"/>
        <v>8307</v>
      </c>
      <c r="Q21" s="51">
        <f t="shared" si="5"/>
        <v>44.706958721274418</v>
      </c>
    </row>
    <row r="22" spans="1:17" ht="23.25" customHeight="1">
      <c r="A22" s="46" t="s">
        <v>19</v>
      </c>
      <c r="B22" s="48">
        <v>3</v>
      </c>
      <c r="C22" s="49">
        <v>6791</v>
      </c>
      <c r="D22" s="28">
        <v>3878</v>
      </c>
      <c r="E22" s="50">
        <f t="shared" si="7"/>
        <v>57.104991901045501</v>
      </c>
      <c r="F22" s="28">
        <v>562</v>
      </c>
      <c r="G22" s="50">
        <f t="shared" si="0"/>
        <v>15.296679368535656</v>
      </c>
      <c r="H22" s="28">
        <v>2018</v>
      </c>
      <c r="I22" s="50">
        <f t="shared" si="1"/>
        <v>54.926510615133374</v>
      </c>
      <c r="J22" s="28">
        <v>1094</v>
      </c>
      <c r="K22" s="50">
        <f t="shared" si="2"/>
        <v>29.776810016330973</v>
      </c>
      <c r="L22" s="28">
        <f t="shared" si="8"/>
        <v>3674</v>
      </c>
      <c r="M22" s="50">
        <f t="shared" si="3"/>
        <v>94.739556472408452</v>
      </c>
      <c r="N22" s="28">
        <f t="shared" si="6"/>
        <v>204</v>
      </c>
      <c r="O22" s="50">
        <f t="shared" si="4"/>
        <v>5.2604435275915424</v>
      </c>
      <c r="P22" s="28">
        <f t="shared" si="9"/>
        <v>2913</v>
      </c>
      <c r="Q22" s="51">
        <f t="shared" si="5"/>
        <v>42.895008098954499</v>
      </c>
    </row>
    <row r="23" spans="1:17" ht="23.25" customHeight="1">
      <c r="A23" s="46" t="s">
        <v>20</v>
      </c>
      <c r="B23" s="48">
        <v>2</v>
      </c>
      <c r="C23" s="49">
        <v>3991</v>
      </c>
      <c r="D23" s="28">
        <v>2348</v>
      </c>
      <c r="E23" s="50">
        <f t="shared" si="7"/>
        <v>58.832372838887494</v>
      </c>
      <c r="F23" s="28">
        <v>283</v>
      </c>
      <c r="G23" s="50">
        <f t="shared" si="0"/>
        <v>12.881201638598089</v>
      </c>
      <c r="H23" s="28">
        <v>1162</v>
      </c>
      <c r="I23" s="50">
        <f t="shared" si="1"/>
        <v>52.890304961310875</v>
      </c>
      <c r="J23" s="28">
        <v>752</v>
      </c>
      <c r="K23" s="50">
        <f t="shared" si="2"/>
        <v>34.228493400091033</v>
      </c>
      <c r="L23" s="28">
        <f t="shared" si="8"/>
        <v>2197</v>
      </c>
      <c r="M23" s="50">
        <f t="shared" si="3"/>
        <v>93.568994889267458</v>
      </c>
      <c r="N23" s="28">
        <f t="shared" si="6"/>
        <v>151</v>
      </c>
      <c r="O23" s="50">
        <f t="shared" si="4"/>
        <v>6.4310051107325377</v>
      </c>
      <c r="P23" s="28">
        <f t="shared" si="9"/>
        <v>1643</v>
      </c>
      <c r="Q23" s="51">
        <f t="shared" si="5"/>
        <v>41.167627161112499</v>
      </c>
    </row>
    <row r="24" spans="1:17" ht="23.25" customHeight="1">
      <c r="A24" s="46" t="s">
        <v>21</v>
      </c>
      <c r="B24" s="48">
        <v>2</v>
      </c>
      <c r="C24" s="49">
        <v>3631</v>
      </c>
      <c r="D24" s="28">
        <v>2105</v>
      </c>
      <c r="E24" s="50">
        <f t="shared" si="7"/>
        <v>57.973010190030294</v>
      </c>
      <c r="F24" s="28">
        <v>254</v>
      </c>
      <c r="G24" s="50">
        <f t="shared" si="0"/>
        <v>12.873796249366448</v>
      </c>
      <c r="H24" s="28">
        <v>1034</v>
      </c>
      <c r="I24" s="50">
        <f t="shared" si="1"/>
        <v>52.407501267105928</v>
      </c>
      <c r="J24" s="28">
        <v>685</v>
      </c>
      <c r="K24" s="50">
        <f t="shared" si="2"/>
        <v>34.718702483527622</v>
      </c>
      <c r="L24" s="28">
        <f t="shared" si="8"/>
        <v>1973</v>
      </c>
      <c r="M24" s="50">
        <f t="shared" si="3"/>
        <v>93.729216152019006</v>
      </c>
      <c r="N24" s="28">
        <f t="shared" si="6"/>
        <v>132</v>
      </c>
      <c r="O24" s="50">
        <f t="shared" si="4"/>
        <v>6.2707838479809972</v>
      </c>
      <c r="P24" s="28">
        <f t="shared" si="9"/>
        <v>1526</v>
      </c>
      <c r="Q24" s="51">
        <f>P24/$C24*100</f>
        <v>42.026989809969706</v>
      </c>
    </row>
    <row r="25" spans="1:17" ht="23.25" customHeight="1">
      <c r="A25" s="103" t="s">
        <v>22</v>
      </c>
      <c r="B25" s="104">
        <v>2</v>
      </c>
      <c r="C25" s="95">
        <v>2842</v>
      </c>
      <c r="D25" s="96">
        <v>1596</v>
      </c>
      <c r="E25" s="97">
        <f>D25/C25*100</f>
        <v>56.157635467980292</v>
      </c>
      <c r="F25" s="96">
        <v>164</v>
      </c>
      <c r="G25" s="97">
        <f t="shared" si="0"/>
        <v>10.839391936549902</v>
      </c>
      <c r="H25" s="96">
        <v>835</v>
      </c>
      <c r="I25" s="97">
        <f t="shared" si="1"/>
        <v>55.188367481824187</v>
      </c>
      <c r="J25" s="96">
        <v>514</v>
      </c>
      <c r="K25" s="97">
        <f t="shared" si="2"/>
        <v>33.972240581625904</v>
      </c>
      <c r="L25" s="96">
        <f t="shared" si="8"/>
        <v>1513</v>
      </c>
      <c r="M25" s="97">
        <f t="shared" si="3"/>
        <v>94.799498746867172</v>
      </c>
      <c r="N25" s="96">
        <f t="shared" si="6"/>
        <v>83</v>
      </c>
      <c r="O25" s="97">
        <f t="shared" si="4"/>
        <v>5.2005012531328321</v>
      </c>
      <c r="P25" s="96">
        <f>C25-D25</f>
        <v>1246</v>
      </c>
      <c r="Q25" s="98">
        <f>P25/$C25*100</f>
        <v>43.842364532019708</v>
      </c>
    </row>
    <row r="26" spans="1:17" ht="23.25" customHeight="1">
      <c r="A26" s="141" t="s">
        <v>42</v>
      </c>
      <c r="B26" s="142"/>
      <c r="C26" s="99"/>
      <c r="D26" s="100">
        <v>5</v>
      </c>
      <c r="E26" s="101">
        <f>D26/D6*100</f>
        <v>9.1487960184439727E-3</v>
      </c>
      <c r="F26" s="100"/>
      <c r="G26" s="101">
        <f t="shared" si="0"/>
        <v>0</v>
      </c>
      <c r="H26" s="100">
        <v>3</v>
      </c>
      <c r="I26" s="101">
        <f t="shared" si="1"/>
        <v>60</v>
      </c>
      <c r="J26" s="100">
        <v>2</v>
      </c>
      <c r="K26" s="101">
        <f t="shared" si="2"/>
        <v>40</v>
      </c>
      <c r="L26" s="100">
        <f t="shared" si="8"/>
        <v>5</v>
      </c>
      <c r="M26" s="101">
        <f t="shared" si="3"/>
        <v>100</v>
      </c>
      <c r="N26" s="100">
        <f t="shared" si="6"/>
        <v>0</v>
      </c>
      <c r="O26" s="101">
        <f t="shared" si="4"/>
        <v>0</v>
      </c>
      <c r="P26" s="100">
        <v>-5</v>
      </c>
      <c r="Q26" s="102"/>
    </row>
    <row r="27" spans="1:17" s="89" customFormat="1" ht="17.25" customHeight="1">
      <c r="A27" s="23"/>
      <c r="B27" s="6"/>
      <c r="C27" s="6"/>
      <c r="D27" s="6"/>
      <c r="E27" s="32"/>
      <c r="F27" s="6"/>
      <c r="G27" s="32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s="89" customFormat="1">
      <c r="A28" s="23"/>
      <c r="B28" s="6"/>
      <c r="C28" s="6"/>
      <c r="D28" s="6"/>
      <c r="E28" s="32"/>
      <c r="F28" s="6"/>
      <c r="G28" s="32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89" customFormat="1">
      <c r="A29" s="8"/>
      <c r="B29" s="6"/>
      <c r="C29" s="6"/>
      <c r="D29" s="6"/>
      <c r="E29" s="32"/>
      <c r="F29" s="6"/>
      <c r="G29" s="32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s="89" customFormat="1">
      <c r="A30" s="8"/>
      <c r="B30" s="6"/>
      <c r="C30" s="6"/>
      <c r="D30" s="6"/>
      <c r="E30" s="32"/>
      <c r="F30" s="6"/>
      <c r="G30" s="32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s="89" customFormat="1">
      <c r="A31" s="8"/>
      <c r="B31" s="6"/>
      <c r="C31" s="6"/>
      <c r="D31" s="6"/>
      <c r="E31" s="32"/>
      <c r="F31" s="6"/>
      <c r="G31" s="32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s="89" customFormat="1">
      <c r="A32" s="8"/>
      <c r="B32" s="6"/>
      <c r="C32" s="6"/>
      <c r="D32" s="6"/>
      <c r="E32" s="32"/>
      <c r="F32" s="6"/>
      <c r="G32" s="32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s="89" customFormat="1">
      <c r="A33" s="8"/>
      <c r="B33" s="6"/>
      <c r="C33" s="6"/>
      <c r="D33" s="6"/>
      <c r="E33" s="32"/>
      <c r="F33" s="6"/>
      <c r="G33" s="32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s="89" customFormat="1">
      <c r="A34" s="8"/>
      <c r="B34" s="6"/>
      <c r="C34" s="6"/>
      <c r="D34" s="6"/>
      <c r="E34" s="32"/>
      <c r="F34" s="6"/>
      <c r="G34" s="32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s="89" customFormat="1">
      <c r="A35" s="8"/>
      <c r="B35" s="6"/>
      <c r="C35" s="6"/>
      <c r="D35" s="6"/>
      <c r="E35" s="32"/>
      <c r="F35" s="6"/>
      <c r="G35" s="32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s="89" customFormat="1">
      <c r="A36" s="8"/>
      <c r="B36" s="6"/>
      <c r="C36" s="6"/>
      <c r="D36" s="6"/>
      <c r="E36" s="32"/>
      <c r="F36" s="6"/>
      <c r="G36" s="32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s="89" customFormat="1">
      <c r="A37" s="8"/>
      <c r="B37" s="6"/>
      <c r="C37" s="6"/>
      <c r="D37" s="6"/>
      <c r="E37" s="32"/>
      <c r="F37" s="6"/>
      <c r="G37" s="32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s="89" customFormat="1">
      <c r="A38" s="8"/>
      <c r="B38" s="6"/>
      <c r="C38" s="6"/>
      <c r="D38" s="6"/>
      <c r="E38" s="32"/>
      <c r="F38" s="6"/>
      <c r="G38" s="32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s="89" customFormat="1">
      <c r="A39" s="8"/>
      <c r="B39" s="6"/>
      <c r="C39" s="6"/>
      <c r="D39" s="6"/>
      <c r="E39" s="32"/>
      <c r="F39" s="6"/>
      <c r="G39" s="32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s="89" customFormat="1">
      <c r="A40" s="8"/>
      <c r="B40" s="6"/>
      <c r="C40" s="6"/>
      <c r="D40" s="6"/>
      <c r="E40" s="32"/>
      <c r="F40" s="6"/>
      <c r="G40" s="32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s="89" customFormat="1">
      <c r="A41" s="8"/>
      <c r="B41" s="6"/>
      <c r="C41" s="6"/>
      <c r="D41" s="6"/>
      <c r="E41" s="32"/>
      <c r="F41" s="6"/>
      <c r="G41" s="32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s="89" customFormat="1">
      <c r="A42" s="8"/>
      <c r="B42" s="6"/>
      <c r="C42" s="6"/>
      <c r="D42" s="6"/>
      <c r="E42" s="32"/>
      <c r="F42" s="6"/>
      <c r="G42" s="32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s="89" customFormat="1">
      <c r="A43" s="8"/>
      <c r="B43" s="6"/>
      <c r="C43" s="6"/>
      <c r="D43" s="6"/>
      <c r="E43" s="32"/>
      <c r="F43" s="6"/>
      <c r="G43" s="32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s="89" customFormat="1">
      <c r="A44" s="8"/>
      <c r="B44" s="6"/>
      <c r="C44" s="6"/>
      <c r="D44" s="6"/>
      <c r="E44" s="32"/>
      <c r="F44" s="6"/>
      <c r="G44" s="32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s="89" customFormat="1">
      <c r="A45" s="8"/>
      <c r="B45" s="6"/>
      <c r="C45" s="6"/>
      <c r="D45" s="6"/>
      <c r="E45" s="32"/>
      <c r="F45" s="6"/>
      <c r="G45" s="32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s="89" customFormat="1">
      <c r="A46" s="8"/>
      <c r="B46" s="6"/>
      <c r="C46" s="6"/>
      <c r="D46" s="6"/>
      <c r="E46" s="32"/>
      <c r="F46" s="6"/>
      <c r="G46" s="32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s="89" customFormat="1">
      <c r="A47" s="8"/>
      <c r="B47" s="6"/>
      <c r="C47" s="6"/>
      <c r="D47" s="6"/>
      <c r="E47" s="32"/>
      <c r="F47" s="6"/>
      <c r="G47" s="32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s="89" customFormat="1">
      <c r="A48" s="8"/>
      <c r="B48" s="6"/>
      <c r="C48" s="6"/>
      <c r="D48" s="6"/>
      <c r="E48" s="32"/>
      <c r="F48" s="6"/>
      <c r="G48" s="32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s="90" customFormat="1">
      <c r="A49" s="9"/>
      <c r="B49" s="7"/>
      <c r="C49" s="7"/>
      <c r="D49" s="7"/>
      <c r="E49" s="33"/>
      <c r="F49" s="7"/>
      <c r="G49" s="33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s="90" customFormat="1">
      <c r="A50" s="9"/>
      <c r="B50" s="7"/>
      <c r="C50" s="7"/>
      <c r="D50" s="7"/>
      <c r="E50" s="33"/>
      <c r="F50" s="7"/>
      <c r="G50" s="33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s="90" customFormat="1">
      <c r="A51" s="9"/>
      <c r="B51" s="7"/>
      <c r="C51" s="7"/>
      <c r="D51" s="7"/>
      <c r="E51" s="33"/>
      <c r="F51" s="7"/>
      <c r="G51" s="33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s="90" customFormat="1">
      <c r="A52" s="9"/>
      <c r="B52" s="7"/>
      <c r="C52" s="7"/>
      <c r="D52" s="7"/>
      <c r="E52" s="33"/>
      <c r="F52" s="7"/>
      <c r="G52" s="33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s="90" customFormat="1">
      <c r="A53" s="9"/>
      <c r="B53" s="7"/>
      <c r="C53" s="7"/>
      <c r="D53" s="7"/>
      <c r="E53" s="33"/>
      <c r="F53" s="7"/>
      <c r="G53" s="33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s="90" customFormat="1">
      <c r="A54" s="9"/>
      <c r="B54" s="7"/>
      <c r="C54" s="7"/>
      <c r="D54" s="7"/>
      <c r="E54" s="33"/>
      <c r="F54" s="7"/>
      <c r="G54" s="33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>
      <c r="A55" s="2"/>
    </row>
    <row r="56" spans="1:17">
      <c r="A56" s="2"/>
    </row>
    <row r="57" spans="1:17">
      <c r="A57" s="2"/>
    </row>
    <row r="58" spans="1:17">
      <c r="A58" s="2"/>
    </row>
    <row r="59" spans="1:17">
      <c r="A59" s="2"/>
    </row>
    <row r="60" spans="1:17">
      <c r="A60" s="2"/>
    </row>
    <row r="61" spans="1:17">
      <c r="A61" s="2"/>
    </row>
    <row r="62" spans="1:17">
      <c r="A62" s="2"/>
    </row>
    <row r="63" spans="1:17">
      <c r="A63" s="2"/>
    </row>
    <row r="64" spans="1:17">
      <c r="A64" s="2"/>
    </row>
    <row r="65" spans="1:1">
      <c r="A65" s="2"/>
    </row>
    <row r="66" spans="1:1">
      <c r="A66" s="2"/>
    </row>
    <row r="67" spans="1:1">
      <c r="A67" s="2"/>
    </row>
  </sheetData>
  <sheetProtection password="CA6A" sheet="1"/>
  <mergeCells count="13">
    <mergeCell ref="L4:M4"/>
    <mergeCell ref="F3:M3"/>
    <mergeCell ref="A1:Q1"/>
    <mergeCell ref="N3:O4"/>
    <mergeCell ref="P3:Q4"/>
    <mergeCell ref="H4:I4"/>
    <mergeCell ref="J4:K4"/>
    <mergeCell ref="A3:A5"/>
    <mergeCell ref="F4:G4"/>
    <mergeCell ref="D3:E4"/>
    <mergeCell ref="B3:B5"/>
    <mergeCell ref="C3:C5"/>
    <mergeCell ref="A26:B26"/>
  </mergeCells>
  <phoneticPr fontId="2" type="noConversion"/>
  <printOptions horizontalCentered="1"/>
  <pageMargins left="0.22" right="0.28000000000000003" top="0.37" bottom="0.23" header="0.2" footer="0.16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W67"/>
  <sheetViews>
    <sheetView zoomScale="110" zoomScaleNormal="110" zoomScaleSheetLayoutView="85" workbookViewId="0">
      <pane xSplit="2" ySplit="5" topLeftCell="C6" activePane="bottomRight" state="frozen"/>
      <selection activeCell="C27" sqref="C27"/>
      <selection pane="topRight" activeCell="C27" sqref="C27"/>
      <selection pane="bottomLeft" activeCell="C27" sqref="C27"/>
      <selection pane="bottomRight" activeCell="O25" sqref="O25"/>
    </sheetView>
  </sheetViews>
  <sheetFormatPr defaultRowHeight="13.5"/>
  <cols>
    <col min="1" max="1" width="6.33203125" style="1" customWidth="1"/>
    <col min="2" max="2" width="4.88671875" style="4" customWidth="1"/>
    <col min="3" max="4" width="6.33203125" style="4" customWidth="1"/>
    <col min="5" max="5" width="5.44140625" style="31" customWidth="1"/>
    <col min="6" max="6" width="6.33203125" style="4" customWidth="1"/>
    <col min="7" max="7" width="5.44140625" style="31" customWidth="1"/>
    <col min="8" max="8" width="6.33203125" style="4" customWidth="1"/>
    <col min="9" max="9" width="6.109375" style="4" customWidth="1"/>
    <col min="10" max="10" width="6.33203125" style="4" customWidth="1"/>
    <col min="11" max="11" width="5.44140625" style="4" customWidth="1"/>
    <col min="12" max="12" width="6.33203125" style="4" customWidth="1"/>
    <col min="13" max="13" width="5.44140625" style="4" customWidth="1"/>
    <col min="14" max="14" width="6.33203125" style="4" customWidth="1"/>
    <col min="15" max="15" width="5.44140625" style="4" customWidth="1"/>
    <col min="16" max="16" width="6.33203125" style="4" customWidth="1"/>
    <col min="17" max="17" width="5.44140625" style="4" customWidth="1"/>
    <col min="18" max="18" width="6.33203125" style="4" customWidth="1"/>
    <col min="19" max="19" width="5.44140625" style="4" customWidth="1"/>
    <col min="20" max="20" width="6.33203125" style="4" customWidth="1"/>
    <col min="21" max="21" width="5.44140625" style="4" customWidth="1"/>
    <col min="22" max="22" width="6.33203125" style="4" customWidth="1"/>
    <col min="23" max="23" width="5.44140625" style="4" customWidth="1"/>
    <col min="24" max="16384" width="8.88671875" style="1"/>
  </cols>
  <sheetData>
    <row r="1" spans="1:23" ht="27">
      <c r="A1" s="146" t="s">
        <v>88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2" spans="1:23" ht="16.5">
      <c r="A2" s="42"/>
      <c r="W2" s="24" t="s">
        <v>69</v>
      </c>
    </row>
    <row r="3" spans="1:23" s="52" customFormat="1" ht="19.149999999999999" customHeight="1">
      <c r="A3" s="159" t="s">
        <v>90</v>
      </c>
      <c r="B3" s="162" t="s">
        <v>113</v>
      </c>
      <c r="C3" s="165" t="s">
        <v>114</v>
      </c>
      <c r="D3" s="151" t="s">
        <v>115</v>
      </c>
      <c r="E3" s="152"/>
      <c r="F3" s="168" t="s">
        <v>116</v>
      </c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70"/>
      <c r="T3" s="151" t="s">
        <v>117</v>
      </c>
      <c r="U3" s="152"/>
      <c r="V3" s="151" t="s">
        <v>118</v>
      </c>
      <c r="W3" s="157"/>
    </row>
    <row r="4" spans="1:23" s="52" customFormat="1" ht="19.149999999999999" customHeight="1">
      <c r="A4" s="160"/>
      <c r="B4" s="163"/>
      <c r="C4" s="166"/>
      <c r="D4" s="153"/>
      <c r="E4" s="154"/>
      <c r="F4" s="155" t="s">
        <v>119</v>
      </c>
      <c r="G4" s="156"/>
      <c r="H4" s="155" t="s">
        <v>120</v>
      </c>
      <c r="I4" s="156"/>
      <c r="J4" s="155" t="s">
        <v>121</v>
      </c>
      <c r="K4" s="156"/>
      <c r="L4" s="155" t="s">
        <v>122</v>
      </c>
      <c r="M4" s="156"/>
      <c r="N4" s="155" t="s">
        <v>123</v>
      </c>
      <c r="O4" s="156"/>
      <c r="P4" s="155" t="s">
        <v>124</v>
      </c>
      <c r="Q4" s="156"/>
      <c r="R4" s="155" t="s">
        <v>125</v>
      </c>
      <c r="S4" s="156"/>
      <c r="T4" s="153"/>
      <c r="U4" s="154"/>
      <c r="V4" s="153"/>
      <c r="W4" s="158"/>
    </row>
    <row r="5" spans="1:23" s="52" customFormat="1" ht="19.149999999999999" customHeight="1">
      <c r="A5" s="161"/>
      <c r="B5" s="164"/>
      <c r="C5" s="167"/>
      <c r="D5" s="57"/>
      <c r="E5" s="39" t="s">
        <v>126</v>
      </c>
      <c r="F5" s="77"/>
      <c r="G5" s="39" t="s">
        <v>126</v>
      </c>
      <c r="H5" s="77"/>
      <c r="I5" s="41" t="s">
        <v>126</v>
      </c>
      <c r="J5" s="77"/>
      <c r="K5" s="41" t="s">
        <v>126</v>
      </c>
      <c r="L5" s="77"/>
      <c r="M5" s="41" t="s">
        <v>126</v>
      </c>
      <c r="N5" s="77"/>
      <c r="O5" s="41" t="s">
        <v>126</v>
      </c>
      <c r="P5" s="77"/>
      <c r="Q5" s="41" t="s">
        <v>126</v>
      </c>
      <c r="R5" s="57"/>
      <c r="S5" s="41" t="s">
        <v>126</v>
      </c>
      <c r="T5" s="57"/>
      <c r="U5" s="41" t="s">
        <v>126</v>
      </c>
      <c r="V5" s="57"/>
      <c r="W5" s="43" t="s">
        <v>126</v>
      </c>
    </row>
    <row r="6" spans="1:23" s="52" customFormat="1" ht="22.5" customHeight="1">
      <c r="A6" s="44" t="s">
        <v>91</v>
      </c>
      <c r="B6" s="29">
        <f>SUM(B7,B9)</f>
        <v>40</v>
      </c>
      <c r="C6" s="53">
        <f>SUM(C7:C9)</f>
        <v>85998</v>
      </c>
      <c r="D6" s="53">
        <f>SUM(D7:D9)</f>
        <v>54652</v>
      </c>
      <c r="E6" s="37">
        <f t="shared" ref="E6:E25" si="0">D6/C6*100</f>
        <v>63.550315123607525</v>
      </c>
      <c r="F6" s="53">
        <f>SUM(F7:F9)</f>
        <v>39659</v>
      </c>
      <c r="G6" s="37">
        <f t="shared" ref="G6:G26" si="1">F6/$R6*100</f>
        <v>76.296652558676413</v>
      </c>
      <c r="H6" s="53">
        <f>SUM(H7:H9)</f>
        <v>7752</v>
      </c>
      <c r="I6" s="37">
        <f t="shared" ref="I6:I26" si="2">H6/$R6*100</f>
        <v>14.913428241631395</v>
      </c>
      <c r="J6" s="53">
        <f>SUM(J7:J9)</f>
        <v>1186</v>
      </c>
      <c r="K6" s="37">
        <f t="shared" ref="K6:K26" si="3">J6/$R6*100</f>
        <v>2.2816467872258559</v>
      </c>
      <c r="L6" s="53">
        <f>SUM(L7:L9)</f>
        <v>1969</v>
      </c>
      <c r="M6" s="37">
        <f t="shared" ref="M6:O26" si="4">L6/$R6*100</f>
        <v>3.7879953828395534</v>
      </c>
      <c r="N6" s="125">
        <f>SUM(N7:N9)</f>
        <v>732</v>
      </c>
      <c r="O6" s="37">
        <f t="shared" si="4"/>
        <v>1.4082339361292806</v>
      </c>
      <c r="P6" s="53">
        <f>SUM(P7:P9)</f>
        <v>682</v>
      </c>
      <c r="Q6" s="37">
        <f t="shared" ref="Q6:Q26" si="5">P6/$R6*100</f>
        <v>1.3120430934974991</v>
      </c>
      <c r="R6" s="53">
        <f>SUM(R7:R9)</f>
        <v>51980</v>
      </c>
      <c r="S6" s="37">
        <f t="shared" ref="S6:S26" si="6">R6/$D6*100</f>
        <v>95.110883407743543</v>
      </c>
      <c r="T6" s="53">
        <f>SUM(T7:T9)</f>
        <v>2672</v>
      </c>
      <c r="U6" s="37">
        <f t="shared" ref="U6:U26" si="7">T6/$D6*100</f>
        <v>4.8891165922564586</v>
      </c>
      <c r="V6" s="53">
        <f>SUM(V7:V9)</f>
        <v>31346</v>
      </c>
      <c r="W6" s="45">
        <f t="shared" ref="W6:W25" si="8">V6/$C6*100</f>
        <v>36.449684876392475</v>
      </c>
    </row>
    <row r="7" spans="1:23" s="52" customFormat="1" ht="22.5" customHeight="1">
      <c r="A7" s="46" t="s">
        <v>92</v>
      </c>
      <c r="B7" s="26"/>
      <c r="C7" s="27">
        <v>11519</v>
      </c>
      <c r="D7" s="27">
        <v>11516</v>
      </c>
      <c r="E7" s="25">
        <f t="shared" si="0"/>
        <v>99.973956072575746</v>
      </c>
      <c r="F7" s="27">
        <v>7763</v>
      </c>
      <c r="G7" s="25">
        <f t="shared" si="1"/>
        <v>70.297926288146343</v>
      </c>
      <c r="H7" s="27">
        <v>2301</v>
      </c>
      <c r="I7" s="25">
        <f t="shared" si="2"/>
        <v>20.836729149687585</v>
      </c>
      <c r="J7" s="27">
        <v>262</v>
      </c>
      <c r="K7" s="25">
        <f t="shared" si="3"/>
        <v>2.3725436928370915</v>
      </c>
      <c r="L7" s="27">
        <v>456</v>
      </c>
      <c r="M7" s="25">
        <f t="shared" si="4"/>
        <v>4.1293126867698993</v>
      </c>
      <c r="N7" s="123">
        <v>143</v>
      </c>
      <c r="O7" s="25">
        <f t="shared" si="4"/>
        <v>1.2949379697545957</v>
      </c>
      <c r="P7" s="27">
        <v>118</v>
      </c>
      <c r="Q7" s="25">
        <f t="shared" si="5"/>
        <v>1.0685502128044917</v>
      </c>
      <c r="R7" s="27">
        <f>F7+H7+J7+L7+N7+P7</f>
        <v>11043</v>
      </c>
      <c r="S7" s="25">
        <f t="shared" si="6"/>
        <v>95.892671066342487</v>
      </c>
      <c r="T7" s="27">
        <v>473</v>
      </c>
      <c r="U7" s="25">
        <f t="shared" si="7"/>
        <v>4.1073289336575201</v>
      </c>
      <c r="V7" s="35">
        <v>3</v>
      </c>
      <c r="W7" s="47">
        <f t="shared" si="8"/>
        <v>2.6043927424255577E-2</v>
      </c>
    </row>
    <row r="8" spans="1:23" s="52" customFormat="1" ht="22.5" customHeight="1">
      <c r="A8" s="46" t="s">
        <v>93</v>
      </c>
      <c r="B8" s="26"/>
      <c r="C8" s="27">
        <v>531</v>
      </c>
      <c r="D8" s="27">
        <v>501</v>
      </c>
      <c r="E8" s="25">
        <f>D8/C8*100</f>
        <v>94.350282485875709</v>
      </c>
      <c r="F8" s="27">
        <v>319</v>
      </c>
      <c r="G8" s="25">
        <f>F8/$R8*100</f>
        <v>71.046770601336306</v>
      </c>
      <c r="H8" s="27">
        <v>51</v>
      </c>
      <c r="I8" s="25">
        <f>H8/$R8*100</f>
        <v>11.358574610244988</v>
      </c>
      <c r="J8" s="27">
        <v>32</v>
      </c>
      <c r="K8" s="25">
        <f>J8/$R8*100</f>
        <v>7.1269487750556788</v>
      </c>
      <c r="L8" s="27">
        <v>15</v>
      </c>
      <c r="M8" s="25">
        <f>L8/$R8*100</f>
        <v>3.3407572383073498</v>
      </c>
      <c r="N8" s="123">
        <v>8</v>
      </c>
      <c r="O8" s="25">
        <f>N8/$R8*100</f>
        <v>1.7817371937639197</v>
      </c>
      <c r="P8" s="27">
        <v>24</v>
      </c>
      <c r="Q8" s="25">
        <f>P8/$R8*100</f>
        <v>5.3452115812917596</v>
      </c>
      <c r="R8" s="27">
        <f>F8+H8+J8+L8+N8+P8</f>
        <v>449</v>
      </c>
      <c r="S8" s="25">
        <f>R8/$D8*100</f>
        <v>89.620758483033939</v>
      </c>
      <c r="T8" s="27">
        <f>D8-R8</f>
        <v>52</v>
      </c>
      <c r="U8" s="25">
        <f>T8/$D8*100</f>
        <v>10.379241516966067</v>
      </c>
      <c r="V8" s="35">
        <f>C8-D8</f>
        <v>30</v>
      </c>
      <c r="W8" s="47">
        <f>V8/$C8*100</f>
        <v>5.6497175141242941</v>
      </c>
    </row>
    <row r="9" spans="1:23" s="54" customFormat="1" ht="22.5" customHeight="1">
      <c r="A9" s="44" t="s">
        <v>94</v>
      </c>
      <c r="B9" s="29">
        <f>SUM(B10:B25)</f>
        <v>40</v>
      </c>
      <c r="C9" s="53">
        <f>SUM(C10:C25)</f>
        <v>73948</v>
      </c>
      <c r="D9" s="53">
        <f>SUM(D10:D26)</f>
        <v>42635</v>
      </c>
      <c r="E9" s="37">
        <f t="shared" si="0"/>
        <v>57.655379455833831</v>
      </c>
      <c r="F9" s="53">
        <f>SUM(F10:F26)</f>
        <v>31577</v>
      </c>
      <c r="G9" s="37">
        <f t="shared" si="1"/>
        <v>77.991009681881053</v>
      </c>
      <c r="H9" s="53">
        <f>SUM(H10:H26)</f>
        <v>5400</v>
      </c>
      <c r="I9" s="37">
        <f t="shared" si="2"/>
        <v>13.337285121517487</v>
      </c>
      <c r="J9" s="53">
        <f>SUM(J10:J26)</f>
        <v>892</v>
      </c>
      <c r="K9" s="37">
        <f t="shared" si="3"/>
        <v>2.2031219126654813</v>
      </c>
      <c r="L9" s="53">
        <f>SUM(L10:L26)</f>
        <v>1498</v>
      </c>
      <c r="M9" s="37">
        <f t="shared" si="4"/>
        <v>3.6998616874135548</v>
      </c>
      <c r="N9" s="125">
        <f>SUM(N10:N26)</f>
        <v>581</v>
      </c>
      <c r="O9" s="37">
        <f t="shared" si="4"/>
        <v>1.4349930843706777</v>
      </c>
      <c r="P9" s="53">
        <f>SUM(P10:P26)</f>
        <v>540</v>
      </c>
      <c r="Q9" s="37">
        <f t="shared" si="5"/>
        <v>1.3337285121517486</v>
      </c>
      <c r="R9" s="53">
        <f>SUM(R10:R26)</f>
        <v>40488</v>
      </c>
      <c r="S9" s="37">
        <f t="shared" si="6"/>
        <v>94.964231265392286</v>
      </c>
      <c r="T9" s="53">
        <f>SUM(T10:T26)</f>
        <v>2147</v>
      </c>
      <c r="U9" s="37">
        <f t="shared" si="7"/>
        <v>5.0357687346077169</v>
      </c>
      <c r="V9" s="53">
        <f>SUM(V10:V26)</f>
        <v>31313</v>
      </c>
      <c r="W9" s="45">
        <f t="shared" si="8"/>
        <v>42.344620544166176</v>
      </c>
    </row>
    <row r="10" spans="1:23" s="52" customFormat="1" ht="22.5" customHeight="1">
      <c r="A10" s="46" t="s">
        <v>95</v>
      </c>
      <c r="B10" s="48">
        <v>6</v>
      </c>
      <c r="C10" s="72">
        <v>9500</v>
      </c>
      <c r="D10" s="55">
        <v>5088</v>
      </c>
      <c r="E10" s="78">
        <f t="shared" si="0"/>
        <v>53.557894736842101</v>
      </c>
      <c r="F10" s="55">
        <v>3841</v>
      </c>
      <c r="G10" s="78">
        <f t="shared" si="1"/>
        <v>78.83825944170772</v>
      </c>
      <c r="H10" s="55">
        <v>598</v>
      </c>
      <c r="I10" s="78">
        <f t="shared" si="2"/>
        <v>12.274220032840724</v>
      </c>
      <c r="J10" s="55">
        <v>121</v>
      </c>
      <c r="K10" s="78">
        <f t="shared" si="3"/>
        <v>2.4835796387520528</v>
      </c>
      <c r="L10" s="55">
        <v>165</v>
      </c>
      <c r="M10" s="78">
        <f t="shared" si="4"/>
        <v>3.3866995073891628</v>
      </c>
      <c r="N10" s="123">
        <v>91</v>
      </c>
      <c r="O10" s="78">
        <f t="shared" si="4"/>
        <v>1.8678160919540232</v>
      </c>
      <c r="P10" s="55">
        <v>56</v>
      </c>
      <c r="Q10" s="78">
        <f t="shared" si="5"/>
        <v>1.1494252873563218</v>
      </c>
      <c r="R10" s="27">
        <f>F10+H10+J10+L10+N10+P10</f>
        <v>4872</v>
      </c>
      <c r="S10" s="78">
        <f t="shared" si="6"/>
        <v>95.754716981132077</v>
      </c>
      <c r="T10" s="27">
        <f>D10-R10</f>
        <v>216</v>
      </c>
      <c r="U10" s="78">
        <f t="shared" si="7"/>
        <v>4.2452830188679247</v>
      </c>
      <c r="V10" s="35">
        <f>C10-D10</f>
        <v>4412</v>
      </c>
      <c r="W10" s="79">
        <f t="shared" si="8"/>
        <v>46.442105263157899</v>
      </c>
    </row>
    <row r="11" spans="1:23" s="52" customFormat="1" ht="22.5" customHeight="1">
      <c r="A11" s="46" t="s">
        <v>96</v>
      </c>
      <c r="B11" s="48">
        <v>2</v>
      </c>
      <c r="C11" s="72">
        <v>3532</v>
      </c>
      <c r="D11" s="55">
        <v>2093</v>
      </c>
      <c r="E11" s="78">
        <f t="shared" si="0"/>
        <v>59.25821064552661</v>
      </c>
      <c r="F11" s="55">
        <v>1651</v>
      </c>
      <c r="G11" s="78">
        <f t="shared" si="1"/>
        <v>82.467532467532465</v>
      </c>
      <c r="H11" s="55">
        <v>222</v>
      </c>
      <c r="I11" s="78">
        <f t="shared" si="2"/>
        <v>11.08891108891109</v>
      </c>
      <c r="J11" s="55">
        <v>31</v>
      </c>
      <c r="K11" s="78">
        <f t="shared" si="3"/>
        <v>1.5484515484515484</v>
      </c>
      <c r="L11" s="55">
        <v>49</v>
      </c>
      <c r="M11" s="78">
        <f t="shared" si="4"/>
        <v>2.4475524475524475</v>
      </c>
      <c r="N11" s="123">
        <v>28</v>
      </c>
      <c r="O11" s="78">
        <f t="shared" si="4"/>
        <v>1.3986013986013985</v>
      </c>
      <c r="P11" s="55">
        <v>21</v>
      </c>
      <c r="Q11" s="78">
        <f t="shared" si="5"/>
        <v>1.048951048951049</v>
      </c>
      <c r="R11" s="27">
        <f t="shared" ref="R11:R25" si="9">F11+H11+J11+L11+N11+P11</f>
        <v>2002</v>
      </c>
      <c r="S11" s="78">
        <f t="shared" si="6"/>
        <v>95.652173913043484</v>
      </c>
      <c r="T11" s="27">
        <f t="shared" ref="T11:T25" si="10">D11-R11</f>
        <v>91</v>
      </c>
      <c r="U11" s="78">
        <f t="shared" si="7"/>
        <v>4.3478260869565215</v>
      </c>
      <c r="V11" s="35">
        <f t="shared" ref="V11:V25" si="11">C11-D11</f>
        <v>1439</v>
      </c>
      <c r="W11" s="79">
        <f t="shared" si="8"/>
        <v>40.741789354473383</v>
      </c>
    </row>
    <row r="12" spans="1:23" s="52" customFormat="1" ht="22.5" customHeight="1">
      <c r="A12" s="46" t="s">
        <v>97</v>
      </c>
      <c r="B12" s="48">
        <v>2</v>
      </c>
      <c r="C12" s="72">
        <v>3079</v>
      </c>
      <c r="D12" s="55">
        <v>1796</v>
      </c>
      <c r="E12" s="78">
        <f t="shared" si="0"/>
        <v>58.330626826891852</v>
      </c>
      <c r="F12" s="55">
        <v>1396</v>
      </c>
      <c r="G12" s="78">
        <f t="shared" si="1"/>
        <v>82.652457075192416</v>
      </c>
      <c r="H12" s="55">
        <v>174</v>
      </c>
      <c r="I12" s="78">
        <f t="shared" si="2"/>
        <v>10.301953818827709</v>
      </c>
      <c r="J12" s="55">
        <v>35</v>
      </c>
      <c r="K12" s="78">
        <f t="shared" si="3"/>
        <v>2.0722320899940794</v>
      </c>
      <c r="L12" s="55">
        <v>43</v>
      </c>
      <c r="M12" s="78">
        <f t="shared" si="4"/>
        <v>2.5458851391355832</v>
      </c>
      <c r="N12" s="123">
        <v>22</v>
      </c>
      <c r="O12" s="78">
        <f t="shared" si="4"/>
        <v>1.3025458851391356</v>
      </c>
      <c r="P12" s="55">
        <v>19</v>
      </c>
      <c r="Q12" s="78">
        <f t="shared" si="5"/>
        <v>1.1249259917110717</v>
      </c>
      <c r="R12" s="27">
        <f t="shared" si="9"/>
        <v>1689</v>
      </c>
      <c r="S12" s="78">
        <f t="shared" si="6"/>
        <v>94.042316258351889</v>
      </c>
      <c r="T12" s="27">
        <f t="shared" si="10"/>
        <v>107</v>
      </c>
      <c r="U12" s="78">
        <f t="shared" si="7"/>
        <v>5.9576837416481077</v>
      </c>
      <c r="V12" s="35">
        <f t="shared" si="11"/>
        <v>1283</v>
      </c>
      <c r="W12" s="79">
        <f t="shared" si="8"/>
        <v>41.669373173108156</v>
      </c>
    </row>
    <row r="13" spans="1:23" s="52" customFormat="1" ht="22.5" customHeight="1">
      <c r="A13" s="46" t="s">
        <v>98</v>
      </c>
      <c r="B13" s="48">
        <v>2</v>
      </c>
      <c r="C13" s="72">
        <v>2600</v>
      </c>
      <c r="D13" s="55">
        <v>1478</v>
      </c>
      <c r="E13" s="78">
        <f t="shared" si="0"/>
        <v>56.846153846153847</v>
      </c>
      <c r="F13" s="55">
        <v>1126</v>
      </c>
      <c r="G13" s="78">
        <f t="shared" si="1"/>
        <v>80.371163454675226</v>
      </c>
      <c r="H13" s="55">
        <v>148</v>
      </c>
      <c r="I13" s="78">
        <f t="shared" si="2"/>
        <v>10.563882940756603</v>
      </c>
      <c r="J13" s="55">
        <v>37</v>
      </c>
      <c r="K13" s="78">
        <f t="shared" si="3"/>
        <v>2.6409707351891507</v>
      </c>
      <c r="L13" s="55">
        <v>45</v>
      </c>
      <c r="M13" s="78">
        <f t="shared" si="4"/>
        <v>3.2119914346895073</v>
      </c>
      <c r="N13" s="123">
        <v>25</v>
      </c>
      <c r="O13" s="78">
        <f t="shared" si="4"/>
        <v>1.7844396859386153</v>
      </c>
      <c r="P13" s="55">
        <v>20</v>
      </c>
      <c r="Q13" s="78">
        <f t="shared" si="5"/>
        <v>1.4275517487508922</v>
      </c>
      <c r="R13" s="27">
        <f t="shared" si="9"/>
        <v>1401</v>
      </c>
      <c r="S13" s="78">
        <f t="shared" si="6"/>
        <v>94.790257104194851</v>
      </c>
      <c r="T13" s="27">
        <f t="shared" si="10"/>
        <v>77</v>
      </c>
      <c r="U13" s="78">
        <f t="shared" si="7"/>
        <v>5.2097428958051424</v>
      </c>
      <c r="V13" s="35">
        <f t="shared" si="11"/>
        <v>1122</v>
      </c>
      <c r="W13" s="79">
        <f t="shared" si="8"/>
        <v>43.153846153846153</v>
      </c>
    </row>
    <row r="14" spans="1:23" s="52" customFormat="1" ht="22.5" customHeight="1">
      <c r="A14" s="46" t="s">
        <v>99</v>
      </c>
      <c r="B14" s="48">
        <v>1</v>
      </c>
      <c r="C14" s="72">
        <v>1807</v>
      </c>
      <c r="D14" s="55">
        <v>1138</v>
      </c>
      <c r="E14" s="78">
        <f t="shared" si="0"/>
        <v>62.977310459324841</v>
      </c>
      <c r="F14" s="55">
        <v>832</v>
      </c>
      <c r="G14" s="78">
        <f t="shared" si="1"/>
        <v>79.465138490926464</v>
      </c>
      <c r="H14" s="55">
        <v>127</v>
      </c>
      <c r="I14" s="78">
        <f t="shared" si="2"/>
        <v>12.129894937917861</v>
      </c>
      <c r="J14" s="55">
        <v>18</v>
      </c>
      <c r="K14" s="78">
        <f t="shared" si="3"/>
        <v>1.7191977077363898</v>
      </c>
      <c r="L14" s="55">
        <v>40</v>
      </c>
      <c r="M14" s="78">
        <f t="shared" si="4"/>
        <v>3.8204393505253105</v>
      </c>
      <c r="N14" s="123">
        <v>8</v>
      </c>
      <c r="O14" s="78">
        <f t="shared" si="4"/>
        <v>0.76408787010506207</v>
      </c>
      <c r="P14" s="55">
        <v>22</v>
      </c>
      <c r="Q14" s="78">
        <f t="shared" si="5"/>
        <v>2.1012416427889207</v>
      </c>
      <c r="R14" s="27">
        <f t="shared" si="9"/>
        <v>1047</v>
      </c>
      <c r="S14" s="78">
        <f t="shared" si="6"/>
        <v>92.003514938488578</v>
      </c>
      <c r="T14" s="27">
        <f t="shared" si="10"/>
        <v>91</v>
      </c>
      <c r="U14" s="78">
        <f t="shared" si="7"/>
        <v>7.9964850615114242</v>
      </c>
      <c r="V14" s="35">
        <f t="shared" si="11"/>
        <v>669</v>
      </c>
      <c r="W14" s="79">
        <f t="shared" si="8"/>
        <v>37.022689540675152</v>
      </c>
    </row>
    <row r="15" spans="1:23" s="52" customFormat="1" ht="22.5" customHeight="1">
      <c r="A15" s="46" t="s">
        <v>100</v>
      </c>
      <c r="B15" s="48">
        <v>2</v>
      </c>
      <c r="C15" s="72">
        <v>2329</v>
      </c>
      <c r="D15" s="55">
        <v>1469</v>
      </c>
      <c r="E15" s="78">
        <f t="shared" si="0"/>
        <v>63.074280807213398</v>
      </c>
      <c r="F15" s="55">
        <v>1128</v>
      </c>
      <c r="G15" s="78">
        <f t="shared" si="1"/>
        <v>82.576866764275252</v>
      </c>
      <c r="H15" s="55">
        <v>142</v>
      </c>
      <c r="I15" s="78">
        <f t="shared" si="2"/>
        <v>10.395314787701318</v>
      </c>
      <c r="J15" s="55">
        <v>20</v>
      </c>
      <c r="K15" s="78">
        <f t="shared" si="3"/>
        <v>1.4641288433382138</v>
      </c>
      <c r="L15" s="55">
        <v>40</v>
      </c>
      <c r="M15" s="78">
        <f t="shared" si="4"/>
        <v>2.9282576866764276</v>
      </c>
      <c r="N15" s="123">
        <v>17</v>
      </c>
      <c r="O15" s="78">
        <f t="shared" si="4"/>
        <v>1.2445095168374818</v>
      </c>
      <c r="P15" s="55">
        <v>19</v>
      </c>
      <c r="Q15" s="78">
        <f t="shared" si="5"/>
        <v>1.3909224011713031</v>
      </c>
      <c r="R15" s="27">
        <f t="shared" si="9"/>
        <v>1366</v>
      </c>
      <c r="S15" s="78">
        <f t="shared" si="6"/>
        <v>92.988427501701835</v>
      </c>
      <c r="T15" s="27">
        <f t="shared" si="10"/>
        <v>103</v>
      </c>
      <c r="U15" s="78">
        <f t="shared" si="7"/>
        <v>7.011572498298162</v>
      </c>
      <c r="V15" s="35">
        <f t="shared" si="11"/>
        <v>860</v>
      </c>
      <c r="W15" s="79">
        <f t="shared" si="8"/>
        <v>36.925719192786602</v>
      </c>
    </row>
    <row r="16" spans="1:23" s="52" customFormat="1" ht="22.5" customHeight="1">
      <c r="A16" s="46" t="s">
        <v>101</v>
      </c>
      <c r="B16" s="48">
        <v>1</v>
      </c>
      <c r="C16" s="72">
        <v>858</v>
      </c>
      <c r="D16" s="55">
        <v>551</v>
      </c>
      <c r="E16" s="78">
        <f t="shared" si="0"/>
        <v>64.219114219114218</v>
      </c>
      <c r="F16" s="55">
        <v>386</v>
      </c>
      <c r="G16" s="78">
        <f t="shared" si="1"/>
        <v>77.045908183632733</v>
      </c>
      <c r="H16" s="55">
        <v>62</v>
      </c>
      <c r="I16" s="78">
        <f t="shared" si="2"/>
        <v>12.375249500998004</v>
      </c>
      <c r="J16" s="55">
        <v>12</v>
      </c>
      <c r="K16" s="78">
        <f t="shared" si="3"/>
        <v>2.3952095808383236</v>
      </c>
      <c r="L16" s="55">
        <v>23</v>
      </c>
      <c r="M16" s="78">
        <f t="shared" si="4"/>
        <v>4.5908183632734527</v>
      </c>
      <c r="N16" s="123">
        <v>4</v>
      </c>
      <c r="O16" s="78">
        <f t="shared" si="4"/>
        <v>0.79840319361277434</v>
      </c>
      <c r="P16" s="55">
        <v>14</v>
      </c>
      <c r="Q16" s="78">
        <f t="shared" si="5"/>
        <v>2.7944111776447107</v>
      </c>
      <c r="R16" s="27">
        <f t="shared" si="9"/>
        <v>501</v>
      </c>
      <c r="S16" s="78">
        <f t="shared" si="6"/>
        <v>90.92558983666062</v>
      </c>
      <c r="T16" s="27">
        <f t="shared" si="10"/>
        <v>50</v>
      </c>
      <c r="U16" s="78">
        <f t="shared" si="7"/>
        <v>9.0744101633393832</v>
      </c>
      <c r="V16" s="35">
        <f t="shared" si="11"/>
        <v>307</v>
      </c>
      <c r="W16" s="79">
        <f t="shared" si="8"/>
        <v>35.780885780885782</v>
      </c>
    </row>
    <row r="17" spans="1:23" s="52" customFormat="1" ht="22.5" customHeight="1">
      <c r="A17" s="46" t="s">
        <v>102</v>
      </c>
      <c r="B17" s="48">
        <v>3</v>
      </c>
      <c r="C17" s="72">
        <v>3617</v>
      </c>
      <c r="D17" s="55">
        <v>2357</v>
      </c>
      <c r="E17" s="78">
        <f t="shared" si="0"/>
        <v>65.164500967652756</v>
      </c>
      <c r="F17" s="55">
        <v>1721</v>
      </c>
      <c r="G17" s="78">
        <f t="shared" si="1"/>
        <v>79.897864438254402</v>
      </c>
      <c r="H17" s="55">
        <v>218</v>
      </c>
      <c r="I17" s="78">
        <f t="shared" si="2"/>
        <v>10.12070566388115</v>
      </c>
      <c r="J17" s="55">
        <v>38</v>
      </c>
      <c r="K17" s="78">
        <f t="shared" si="3"/>
        <v>1.7641597028783658</v>
      </c>
      <c r="L17" s="55">
        <v>87</v>
      </c>
      <c r="M17" s="78">
        <f t="shared" si="4"/>
        <v>4.03899721448468</v>
      </c>
      <c r="N17" s="123">
        <v>39</v>
      </c>
      <c r="O17" s="78">
        <f t="shared" si="4"/>
        <v>1.8105849582172702</v>
      </c>
      <c r="P17" s="55">
        <v>51</v>
      </c>
      <c r="Q17" s="78">
        <f t="shared" si="5"/>
        <v>2.3676880222841223</v>
      </c>
      <c r="R17" s="27">
        <f t="shared" si="9"/>
        <v>2154</v>
      </c>
      <c r="S17" s="78">
        <f t="shared" si="6"/>
        <v>91.387356809503601</v>
      </c>
      <c r="T17" s="27">
        <f t="shared" si="10"/>
        <v>203</v>
      </c>
      <c r="U17" s="78">
        <f t="shared" si="7"/>
        <v>8.612643190496394</v>
      </c>
      <c r="V17" s="35">
        <f t="shared" si="11"/>
        <v>1260</v>
      </c>
      <c r="W17" s="79">
        <f t="shared" si="8"/>
        <v>34.835499032347251</v>
      </c>
    </row>
    <row r="18" spans="1:23" s="52" customFormat="1" ht="22.5" customHeight="1">
      <c r="A18" s="46" t="s">
        <v>103</v>
      </c>
      <c r="B18" s="48">
        <v>3</v>
      </c>
      <c r="C18" s="72">
        <v>4672</v>
      </c>
      <c r="D18" s="55">
        <v>2866</v>
      </c>
      <c r="E18" s="78">
        <f t="shared" si="0"/>
        <v>61.344178082191782</v>
      </c>
      <c r="F18" s="55">
        <v>2101</v>
      </c>
      <c r="G18" s="78">
        <f t="shared" si="1"/>
        <v>78.337061894108871</v>
      </c>
      <c r="H18" s="55">
        <v>341</v>
      </c>
      <c r="I18" s="78">
        <f t="shared" si="2"/>
        <v>12.714392244593586</v>
      </c>
      <c r="J18" s="55">
        <v>65</v>
      </c>
      <c r="K18" s="78">
        <f t="shared" si="3"/>
        <v>2.4235645041014169</v>
      </c>
      <c r="L18" s="55">
        <v>100</v>
      </c>
      <c r="M18" s="78">
        <f t="shared" si="4"/>
        <v>3.7285607755406418</v>
      </c>
      <c r="N18" s="123">
        <v>29</v>
      </c>
      <c r="O18" s="78">
        <f t="shared" si="4"/>
        <v>1.0812826249067859</v>
      </c>
      <c r="P18" s="55">
        <v>46</v>
      </c>
      <c r="Q18" s="78">
        <f t="shared" si="5"/>
        <v>1.7151379567486951</v>
      </c>
      <c r="R18" s="27">
        <f t="shared" si="9"/>
        <v>2682</v>
      </c>
      <c r="S18" s="78">
        <f t="shared" si="6"/>
        <v>93.579902302861129</v>
      </c>
      <c r="T18" s="27">
        <f t="shared" si="10"/>
        <v>184</v>
      </c>
      <c r="U18" s="78">
        <f t="shared" si="7"/>
        <v>6.4200976971388695</v>
      </c>
      <c r="V18" s="35">
        <f t="shared" si="11"/>
        <v>1806</v>
      </c>
      <c r="W18" s="79">
        <f t="shared" si="8"/>
        <v>38.655821917808218</v>
      </c>
    </row>
    <row r="19" spans="1:23" s="52" customFormat="1" ht="22.5" customHeight="1">
      <c r="A19" s="46" t="s">
        <v>104</v>
      </c>
      <c r="B19" s="48">
        <v>2</v>
      </c>
      <c r="C19" s="72">
        <v>3506</v>
      </c>
      <c r="D19" s="55">
        <v>2111</v>
      </c>
      <c r="E19" s="78">
        <f t="shared" si="0"/>
        <v>60.21106674272675</v>
      </c>
      <c r="F19" s="55">
        <v>1661</v>
      </c>
      <c r="G19" s="78">
        <f t="shared" si="1"/>
        <v>82.024691358024697</v>
      </c>
      <c r="H19" s="55">
        <v>212</v>
      </c>
      <c r="I19" s="78">
        <f t="shared" si="2"/>
        <v>10.469135802469136</v>
      </c>
      <c r="J19" s="55">
        <v>37</v>
      </c>
      <c r="K19" s="78">
        <f t="shared" si="3"/>
        <v>1.8271604938271606</v>
      </c>
      <c r="L19" s="55">
        <v>51</v>
      </c>
      <c r="M19" s="78">
        <f t="shared" si="4"/>
        <v>2.5185185185185186</v>
      </c>
      <c r="N19" s="123">
        <v>25</v>
      </c>
      <c r="O19" s="78">
        <f t="shared" si="4"/>
        <v>1.2345679012345678</v>
      </c>
      <c r="P19" s="55">
        <v>39</v>
      </c>
      <c r="Q19" s="78">
        <f t="shared" si="5"/>
        <v>1.925925925925926</v>
      </c>
      <c r="R19" s="27">
        <f t="shared" si="9"/>
        <v>2025</v>
      </c>
      <c r="S19" s="78">
        <f t="shared" si="6"/>
        <v>95.926101373756509</v>
      </c>
      <c r="T19" s="27">
        <f t="shared" si="10"/>
        <v>86</v>
      </c>
      <c r="U19" s="78">
        <f t="shared" si="7"/>
        <v>4.0738986262434862</v>
      </c>
      <c r="V19" s="35">
        <f t="shared" si="11"/>
        <v>1395</v>
      </c>
      <c r="W19" s="79">
        <f t="shared" si="8"/>
        <v>39.788933257273243</v>
      </c>
    </row>
    <row r="20" spans="1:23" s="52" customFormat="1" ht="22.5" customHeight="1">
      <c r="A20" s="46" t="s">
        <v>105</v>
      </c>
      <c r="B20" s="48">
        <v>1</v>
      </c>
      <c r="C20" s="72">
        <v>2612</v>
      </c>
      <c r="D20" s="55">
        <v>1481</v>
      </c>
      <c r="E20" s="78">
        <f t="shared" si="0"/>
        <v>56.699846860643191</v>
      </c>
      <c r="F20" s="55">
        <v>1133</v>
      </c>
      <c r="G20" s="78">
        <f t="shared" si="1"/>
        <v>79.286214135759266</v>
      </c>
      <c r="H20" s="55">
        <v>161</v>
      </c>
      <c r="I20" s="78">
        <f t="shared" si="2"/>
        <v>11.266620013995801</v>
      </c>
      <c r="J20" s="55">
        <v>34</v>
      </c>
      <c r="K20" s="78">
        <f t="shared" si="3"/>
        <v>2.3792862141357594</v>
      </c>
      <c r="L20" s="55">
        <v>40</v>
      </c>
      <c r="M20" s="78">
        <f t="shared" si="4"/>
        <v>2.7991602519244227</v>
      </c>
      <c r="N20" s="123">
        <v>39</v>
      </c>
      <c r="O20" s="78">
        <f t="shared" si="4"/>
        <v>2.7291812456263118</v>
      </c>
      <c r="P20" s="55">
        <v>22</v>
      </c>
      <c r="Q20" s="78">
        <f t="shared" si="5"/>
        <v>1.5395381385584324</v>
      </c>
      <c r="R20" s="27">
        <f t="shared" si="9"/>
        <v>1429</v>
      </c>
      <c r="S20" s="78">
        <f t="shared" si="6"/>
        <v>96.488858879135719</v>
      </c>
      <c r="T20" s="27">
        <f t="shared" si="10"/>
        <v>52</v>
      </c>
      <c r="U20" s="78">
        <f t="shared" si="7"/>
        <v>3.5111411208642807</v>
      </c>
      <c r="V20" s="35">
        <f t="shared" si="11"/>
        <v>1131</v>
      </c>
      <c r="W20" s="79">
        <f t="shared" si="8"/>
        <v>43.300153139356816</v>
      </c>
    </row>
    <row r="21" spans="1:23" s="52" customFormat="1" ht="22.5" customHeight="1">
      <c r="A21" s="46" t="s">
        <v>106</v>
      </c>
      <c r="B21" s="48">
        <v>6</v>
      </c>
      <c r="C21" s="72">
        <v>18581</v>
      </c>
      <c r="D21" s="55">
        <v>10270</v>
      </c>
      <c r="E21" s="78">
        <f t="shared" si="0"/>
        <v>55.271513912060712</v>
      </c>
      <c r="F21" s="55">
        <v>7275</v>
      </c>
      <c r="G21" s="78">
        <f t="shared" si="1"/>
        <v>73.917902865271287</v>
      </c>
      <c r="H21" s="55">
        <v>1612</v>
      </c>
      <c r="I21" s="78">
        <f t="shared" si="2"/>
        <v>16.378784799837433</v>
      </c>
      <c r="J21" s="55">
        <v>244</v>
      </c>
      <c r="K21" s="78">
        <f t="shared" si="3"/>
        <v>2.479170900223532</v>
      </c>
      <c r="L21" s="55">
        <v>460</v>
      </c>
      <c r="M21" s="78">
        <f t="shared" si="4"/>
        <v>4.6738467791099376</v>
      </c>
      <c r="N21" s="123">
        <v>140</v>
      </c>
      <c r="O21" s="78">
        <f t="shared" si="4"/>
        <v>1.4224751066856329</v>
      </c>
      <c r="P21" s="55">
        <v>111</v>
      </c>
      <c r="Q21" s="78">
        <f t="shared" si="5"/>
        <v>1.1278195488721803</v>
      </c>
      <c r="R21" s="27">
        <f t="shared" si="9"/>
        <v>9842</v>
      </c>
      <c r="S21" s="78">
        <f t="shared" si="6"/>
        <v>95.832521908471278</v>
      </c>
      <c r="T21" s="27">
        <f t="shared" si="10"/>
        <v>428</v>
      </c>
      <c r="U21" s="78">
        <f t="shared" si="7"/>
        <v>4.1674780915287242</v>
      </c>
      <c r="V21" s="35">
        <f t="shared" si="11"/>
        <v>8311</v>
      </c>
      <c r="W21" s="79">
        <f t="shared" si="8"/>
        <v>44.728486087939295</v>
      </c>
    </row>
    <row r="22" spans="1:23" s="52" customFormat="1" ht="22.5" customHeight="1">
      <c r="A22" s="46" t="s">
        <v>107</v>
      </c>
      <c r="B22" s="48">
        <v>3</v>
      </c>
      <c r="C22" s="72">
        <v>6791</v>
      </c>
      <c r="D22" s="55">
        <v>3878</v>
      </c>
      <c r="E22" s="78">
        <f t="shared" si="0"/>
        <v>57.104991901045501</v>
      </c>
      <c r="F22" s="55">
        <v>2778</v>
      </c>
      <c r="G22" s="78">
        <f t="shared" si="1"/>
        <v>75.304960693954996</v>
      </c>
      <c r="H22" s="55">
        <v>579</v>
      </c>
      <c r="I22" s="78">
        <f t="shared" si="2"/>
        <v>15.695310382217404</v>
      </c>
      <c r="J22" s="55">
        <v>94</v>
      </c>
      <c r="K22" s="78">
        <f t="shared" si="3"/>
        <v>2.548116020601789</v>
      </c>
      <c r="L22" s="55">
        <v>156</v>
      </c>
      <c r="M22" s="78">
        <f t="shared" si="4"/>
        <v>4.2287882895093523</v>
      </c>
      <c r="N22" s="123">
        <v>51</v>
      </c>
      <c r="O22" s="78">
        <f t="shared" si="4"/>
        <v>1.3824884792626728</v>
      </c>
      <c r="P22" s="55">
        <v>31</v>
      </c>
      <c r="Q22" s="78">
        <f t="shared" si="5"/>
        <v>0.84033613445378152</v>
      </c>
      <c r="R22" s="27">
        <f t="shared" si="9"/>
        <v>3689</v>
      </c>
      <c r="S22" s="78">
        <f t="shared" si="6"/>
        <v>95.12635379061372</v>
      </c>
      <c r="T22" s="27">
        <f t="shared" si="10"/>
        <v>189</v>
      </c>
      <c r="U22" s="78">
        <f t="shared" si="7"/>
        <v>4.8736462093862816</v>
      </c>
      <c r="V22" s="35">
        <f t="shared" si="11"/>
        <v>2913</v>
      </c>
      <c r="W22" s="79">
        <f t="shared" si="8"/>
        <v>42.895008098954499</v>
      </c>
    </row>
    <row r="23" spans="1:23" s="52" customFormat="1" ht="22.5" customHeight="1">
      <c r="A23" s="46" t="s">
        <v>108</v>
      </c>
      <c r="B23" s="48">
        <v>2</v>
      </c>
      <c r="C23" s="72">
        <v>3991</v>
      </c>
      <c r="D23" s="55">
        <v>2348</v>
      </c>
      <c r="E23" s="78">
        <f t="shared" si="0"/>
        <v>58.832372838887494</v>
      </c>
      <c r="F23" s="55">
        <v>1754</v>
      </c>
      <c r="G23" s="78">
        <f t="shared" si="1"/>
        <v>77.817213842058564</v>
      </c>
      <c r="H23" s="55">
        <v>310</v>
      </c>
      <c r="I23" s="78">
        <f t="shared" si="2"/>
        <v>13.753327417923691</v>
      </c>
      <c r="J23" s="55">
        <v>45</v>
      </c>
      <c r="K23" s="78">
        <f t="shared" si="3"/>
        <v>1.9964507542147296</v>
      </c>
      <c r="L23" s="55">
        <v>91</v>
      </c>
      <c r="M23" s="78">
        <f t="shared" si="4"/>
        <v>4.0372670807453419</v>
      </c>
      <c r="N23" s="123">
        <v>21</v>
      </c>
      <c r="O23" s="78">
        <f t="shared" si="4"/>
        <v>0.93167701863354035</v>
      </c>
      <c r="P23" s="55">
        <v>33</v>
      </c>
      <c r="Q23" s="78">
        <f t="shared" si="5"/>
        <v>1.4640638864241349</v>
      </c>
      <c r="R23" s="27">
        <f t="shared" si="9"/>
        <v>2254</v>
      </c>
      <c r="S23" s="78">
        <f t="shared" si="6"/>
        <v>95.996592844974444</v>
      </c>
      <c r="T23" s="27">
        <f t="shared" si="10"/>
        <v>94</v>
      </c>
      <c r="U23" s="78">
        <f t="shared" si="7"/>
        <v>4.0034071550255543</v>
      </c>
      <c r="V23" s="35">
        <f t="shared" si="11"/>
        <v>1643</v>
      </c>
      <c r="W23" s="79">
        <f t="shared" si="8"/>
        <v>41.167627161112499</v>
      </c>
    </row>
    <row r="24" spans="1:23" s="52" customFormat="1" ht="22.5" customHeight="1">
      <c r="A24" s="46" t="s">
        <v>109</v>
      </c>
      <c r="B24" s="48">
        <v>2</v>
      </c>
      <c r="C24" s="72">
        <v>3631</v>
      </c>
      <c r="D24" s="55">
        <v>2104</v>
      </c>
      <c r="E24" s="78">
        <f t="shared" si="0"/>
        <v>57.945469567612228</v>
      </c>
      <c r="F24" s="55">
        <v>1595</v>
      </c>
      <c r="G24" s="78">
        <f t="shared" si="1"/>
        <v>79.471848530144499</v>
      </c>
      <c r="H24" s="55">
        <v>289</v>
      </c>
      <c r="I24" s="78">
        <f t="shared" si="2"/>
        <v>14.39960139511709</v>
      </c>
      <c r="J24" s="55">
        <v>32</v>
      </c>
      <c r="K24" s="78">
        <f t="shared" si="3"/>
        <v>1.5944195316392624</v>
      </c>
      <c r="L24" s="55">
        <v>64</v>
      </c>
      <c r="M24" s="78">
        <f t="shared" si="4"/>
        <v>3.1888390632785248</v>
      </c>
      <c r="N24" s="123">
        <v>15</v>
      </c>
      <c r="O24" s="78">
        <f t="shared" si="4"/>
        <v>0.74738415545590431</v>
      </c>
      <c r="P24" s="55">
        <v>12</v>
      </c>
      <c r="Q24" s="78">
        <f t="shared" si="5"/>
        <v>0.59790732436472349</v>
      </c>
      <c r="R24" s="27">
        <f t="shared" si="9"/>
        <v>2007</v>
      </c>
      <c r="S24" s="78">
        <f t="shared" si="6"/>
        <v>95.389733840304174</v>
      </c>
      <c r="T24" s="27">
        <f t="shared" si="10"/>
        <v>97</v>
      </c>
      <c r="U24" s="78">
        <f t="shared" si="7"/>
        <v>4.6102661596958177</v>
      </c>
      <c r="V24" s="35">
        <f t="shared" si="11"/>
        <v>1527</v>
      </c>
      <c r="W24" s="79">
        <f t="shared" si="8"/>
        <v>42.054530432387772</v>
      </c>
    </row>
    <row r="25" spans="1:23" s="52" customFormat="1" ht="22.5" customHeight="1">
      <c r="A25" s="103" t="s">
        <v>110</v>
      </c>
      <c r="B25" s="104">
        <v>2</v>
      </c>
      <c r="C25" s="105">
        <v>2842</v>
      </c>
      <c r="D25" s="106">
        <v>1595</v>
      </c>
      <c r="E25" s="120">
        <f t="shared" si="0"/>
        <v>56.12244897959183</v>
      </c>
      <c r="F25" s="106">
        <v>1191</v>
      </c>
      <c r="G25" s="120">
        <f t="shared" si="1"/>
        <v>78.562005277044861</v>
      </c>
      <c r="H25" s="106">
        <v>203</v>
      </c>
      <c r="I25" s="120">
        <f t="shared" si="2"/>
        <v>13.390501319261213</v>
      </c>
      <c r="J25" s="106">
        <v>29</v>
      </c>
      <c r="K25" s="120">
        <f t="shared" si="3"/>
        <v>1.9129287598944591</v>
      </c>
      <c r="L25" s="106">
        <v>42</v>
      </c>
      <c r="M25" s="120">
        <f t="shared" si="4"/>
        <v>2.7704485488126647</v>
      </c>
      <c r="N25" s="124">
        <v>27</v>
      </c>
      <c r="O25" s="120">
        <f t="shared" si="4"/>
        <v>1.7810026385224276</v>
      </c>
      <c r="P25" s="106">
        <v>24</v>
      </c>
      <c r="Q25" s="120">
        <f t="shared" si="5"/>
        <v>1.5831134564643801</v>
      </c>
      <c r="R25" s="108">
        <f t="shared" si="9"/>
        <v>1516</v>
      </c>
      <c r="S25" s="120">
        <f t="shared" si="6"/>
        <v>95.047021943573668</v>
      </c>
      <c r="T25" s="108">
        <f t="shared" si="10"/>
        <v>79</v>
      </c>
      <c r="U25" s="120">
        <f t="shared" si="7"/>
        <v>4.9529780564263328</v>
      </c>
      <c r="V25" s="121">
        <f t="shared" si="11"/>
        <v>1247</v>
      </c>
      <c r="W25" s="122">
        <f t="shared" si="8"/>
        <v>43.877551020408163</v>
      </c>
    </row>
    <row r="26" spans="1:23" s="52" customFormat="1" ht="22.5" customHeight="1">
      <c r="A26" s="141" t="s">
        <v>111</v>
      </c>
      <c r="B26" s="142"/>
      <c r="C26" s="110">
        <v>0</v>
      </c>
      <c r="D26" s="111">
        <v>12</v>
      </c>
      <c r="E26" s="112">
        <f>D26/D6*100</f>
        <v>2.1957110444265536E-2</v>
      </c>
      <c r="F26" s="111">
        <v>8</v>
      </c>
      <c r="G26" s="112">
        <f t="shared" si="1"/>
        <v>66.666666666666657</v>
      </c>
      <c r="H26" s="111">
        <v>2</v>
      </c>
      <c r="I26" s="112">
        <f t="shared" si="2"/>
        <v>16.666666666666664</v>
      </c>
      <c r="J26" s="111"/>
      <c r="K26" s="112">
        <f t="shared" si="3"/>
        <v>0</v>
      </c>
      <c r="L26" s="111">
        <v>2</v>
      </c>
      <c r="M26" s="112">
        <f t="shared" si="4"/>
        <v>16.666666666666664</v>
      </c>
      <c r="N26" s="119"/>
      <c r="O26" s="112">
        <f t="shared" si="4"/>
        <v>0</v>
      </c>
      <c r="P26" s="111"/>
      <c r="Q26" s="112">
        <f t="shared" si="5"/>
        <v>0</v>
      </c>
      <c r="R26" s="113">
        <f>F26+H26+J26+L26+N26+P26</f>
        <v>12</v>
      </c>
      <c r="S26" s="112">
        <f t="shared" si="6"/>
        <v>100</v>
      </c>
      <c r="T26" s="111">
        <f>D26-R26</f>
        <v>0</v>
      </c>
      <c r="U26" s="112">
        <f t="shared" si="7"/>
        <v>0</v>
      </c>
      <c r="V26" s="111">
        <v>-12</v>
      </c>
      <c r="W26" s="114"/>
    </row>
    <row r="27" spans="1:23" s="5" customFormat="1" ht="17.25" customHeight="1">
      <c r="A27" s="23"/>
      <c r="B27" s="6"/>
      <c r="C27" s="6"/>
      <c r="D27" s="6"/>
      <c r="E27" s="32"/>
      <c r="F27" s="6"/>
      <c r="G27" s="32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5" customFormat="1">
      <c r="A28" s="23"/>
      <c r="B28" s="6"/>
      <c r="C28" s="6"/>
      <c r="D28" s="6"/>
      <c r="E28" s="32"/>
      <c r="F28" s="6"/>
      <c r="G28" s="32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s="5" customFormat="1">
      <c r="A29" s="8"/>
      <c r="B29" s="6"/>
      <c r="C29" s="6"/>
      <c r="D29" s="6"/>
      <c r="E29" s="32"/>
      <c r="F29" s="6"/>
      <c r="G29" s="32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5" customFormat="1">
      <c r="A30" s="8"/>
      <c r="B30" s="6"/>
      <c r="C30" s="6"/>
      <c r="D30" s="6"/>
      <c r="E30" s="32"/>
      <c r="F30" s="6"/>
      <c r="G30" s="32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s="5" customFormat="1">
      <c r="A31" s="8"/>
      <c r="B31" s="6"/>
      <c r="C31" s="6"/>
      <c r="D31" s="6"/>
      <c r="E31" s="32"/>
      <c r="F31" s="6"/>
      <c r="G31" s="32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5" customFormat="1">
      <c r="A32" s="8"/>
      <c r="B32" s="6"/>
      <c r="C32" s="6"/>
      <c r="D32" s="6"/>
      <c r="E32" s="32"/>
      <c r="F32" s="6"/>
      <c r="G32" s="32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s="5" customFormat="1">
      <c r="A33" s="8"/>
      <c r="B33" s="6"/>
      <c r="C33" s="6"/>
      <c r="D33" s="6"/>
      <c r="E33" s="32"/>
      <c r="F33" s="6"/>
      <c r="G33" s="32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5" customFormat="1">
      <c r="A34" s="8"/>
      <c r="B34" s="6"/>
      <c r="C34" s="6"/>
      <c r="D34" s="6"/>
      <c r="E34" s="32"/>
      <c r="F34" s="6"/>
      <c r="G34" s="32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s="5" customFormat="1">
      <c r="A35" s="8"/>
      <c r="B35" s="6"/>
      <c r="C35" s="6"/>
      <c r="D35" s="6"/>
      <c r="E35" s="32"/>
      <c r="F35" s="6"/>
      <c r="G35" s="32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5" customFormat="1">
      <c r="A36" s="8"/>
      <c r="B36" s="6"/>
      <c r="C36" s="6"/>
      <c r="D36" s="6"/>
      <c r="E36" s="32"/>
      <c r="F36" s="6"/>
      <c r="G36" s="32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s="5" customFormat="1">
      <c r="A37" s="8"/>
      <c r="B37" s="6"/>
      <c r="C37" s="6"/>
      <c r="D37" s="6"/>
      <c r="E37" s="32"/>
      <c r="F37" s="6"/>
      <c r="G37" s="32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5" customFormat="1">
      <c r="A38" s="8"/>
      <c r="B38" s="6"/>
      <c r="C38" s="6"/>
      <c r="D38" s="6"/>
      <c r="E38" s="32"/>
      <c r="F38" s="6"/>
      <c r="G38" s="32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s="5" customFormat="1">
      <c r="A39" s="8"/>
      <c r="B39" s="6"/>
      <c r="C39" s="6"/>
      <c r="D39" s="6"/>
      <c r="E39" s="32"/>
      <c r="F39" s="6"/>
      <c r="G39" s="32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5" customFormat="1">
      <c r="A40" s="8"/>
      <c r="B40" s="6"/>
      <c r="C40" s="6"/>
      <c r="D40" s="6"/>
      <c r="E40" s="32"/>
      <c r="F40" s="6"/>
      <c r="G40" s="32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s="5" customFormat="1">
      <c r="A41" s="8"/>
      <c r="B41" s="6"/>
      <c r="C41" s="6"/>
      <c r="D41" s="6"/>
      <c r="E41" s="32"/>
      <c r="F41" s="6"/>
      <c r="G41" s="32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5" customFormat="1">
      <c r="A42" s="8"/>
      <c r="B42" s="6"/>
      <c r="C42" s="6"/>
      <c r="D42" s="6"/>
      <c r="E42" s="32"/>
      <c r="F42" s="6"/>
      <c r="G42" s="32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s="5" customFormat="1">
      <c r="A43" s="8"/>
      <c r="B43" s="6"/>
      <c r="C43" s="6"/>
      <c r="D43" s="6"/>
      <c r="E43" s="32"/>
      <c r="F43" s="6"/>
      <c r="G43" s="32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5" customFormat="1">
      <c r="A44" s="8"/>
      <c r="B44" s="6"/>
      <c r="C44" s="6"/>
      <c r="D44" s="6"/>
      <c r="E44" s="32"/>
      <c r="F44" s="6"/>
      <c r="G44" s="32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s="5" customFormat="1">
      <c r="A45" s="8"/>
      <c r="B45" s="6"/>
      <c r="C45" s="6"/>
      <c r="D45" s="6"/>
      <c r="E45" s="32"/>
      <c r="F45" s="6"/>
      <c r="G45" s="32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s="5" customFormat="1">
      <c r="A46" s="8"/>
      <c r="B46" s="6"/>
      <c r="C46" s="6"/>
      <c r="D46" s="6"/>
      <c r="E46" s="32"/>
      <c r="F46" s="6"/>
      <c r="G46" s="32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s="5" customFormat="1">
      <c r="A47" s="8"/>
      <c r="B47" s="6"/>
      <c r="C47" s="6"/>
      <c r="D47" s="6"/>
      <c r="E47" s="32"/>
      <c r="F47" s="6"/>
      <c r="G47" s="32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5" customFormat="1">
      <c r="A48" s="8"/>
      <c r="B48" s="6"/>
      <c r="C48" s="6"/>
      <c r="D48" s="6"/>
      <c r="E48" s="32"/>
      <c r="F48" s="6"/>
      <c r="G48" s="32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s="3" customFormat="1">
      <c r="A49" s="9"/>
      <c r="B49" s="7"/>
      <c r="C49" s="7"/>
      <c r="D49" s="7"/>
      <c r="E49" s="33"/>
      <c r="F49" s="7"/>
      <c r="G49" s="33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s="3" customFormat="1">
      <c r="A50" s="9"/>
      <c r="B50" s="7"/>
      <c r="C50" s="7"/>
      <c r="D50" s="7"/>
      <c r="E50" s="33"/>
      <c r="F50" s="7"/>
      <c r="G50" s="33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s="3" customFormat="1">
      <c r="A51" s="9"/>
      <c r="B51" s="7"/>
      <c r="C51" s="7"/>
      <c r="D51" s="7"/>
      <c r="E51" s="33"/>
      <c r="F51" s="7"/>
      <c r="G51" s="33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s="3" customFormat="1">
      <c r="A52" s="9"/>
      <c r="B52" s="7"/>
      <c r="C52" s="7"/>
      <c r="D52" s="7"/>
      <c r="E52" s="33"/>
      <c r="F52" s="7"/>
      <c r="G52" s="33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s="3" customFormat="1">
      <c r="A53" s="9"/>
      <c r="B53" s="7"/>
      <c r="C53" s="7"/>
      <c r="D53" s="7"/>
      <c r="E53" s="33"/>
      <c r="F53" s="7"/>
      <c r="G53" s="33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s="3" customFormat="1">
      <c r="A54" s="9"/>
      <c r="B54" s="7"/>
      <c r="C54" s="7"/>
      <c r="D54" s="7"/>
      <c r="E54" s="33"/>
      <c r="F54" s="7"/>
      <c r="G54" s="33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>
      <c r="A55" s="2"/>
    </row>
    <row r="56" spans="1:23">
      <c r="A56" s="2"/>
    </row>
    <row r="57" spans="1:23">
      <c r="A57" s="2"/>
    </row>
    <row r="58" spans="1:23">
      <c r="A58" s="2"/>
    </row>
    <row r="59" spans="1:23">
      <c r="A59" s="2"/>
    </row>
    <row r="60" spans="1:23">
      <c r="A60" s="2"/>
    </row>
    <row r="61" spans="1:23">
      <c r="A61" s="2"/>
    </row>
    <row r="62" spans="1:23">
      <c r="A62" s="2"/>
    </row>
    <row r="63" spans="1:23" s="4" customFormat="1">
      <c r="A63" s="2"/>
      <c r="E63" s="31"/>
      <c r="G63" s="31"/>
    </row>
    <row r="64" spans="1:23" s="4" customFormat="1">
      <c r="A64" s="2"/>
      <c r="E64" s="31"/>
      <c r="G64" s="31"/>
    </row>
    <row r="65" spans="1:7" s="4" customFormat="1">
      <c r="A65" s="2"/>
      <c r="E65" s="31"/>
      <c r="G65" s="31"/>
    </row>
    <row r="66" spans="1:7" s="4" customFormat="1">
      <c r="A66" s="2"/>
      <c r="E66" s="31"/>
      <c r="G66" s="31"/>
    </row>
    <row r="67" spans="1:7" s="4" customFormat="1">
      <c r="A67" s="2"/>
      <c r="E67" s="31"/>
      <c r="G67" s="31"/>
    </row>
  </sheetData>
  <sheetProtection password="CA6A" sheet="1"/>
  <mergeCells count="16">
    <mergeCell ref="A1:W1"/>
    <mergeCell ref="A3:A5"/>
    <mergeCell ref="B3:B5"/>
    <mergeCell ref="C3:C5"/>
    <mergeCell ref="D3:E4"/>
    <mergeCell ref="F3:S3"/>
    <mergeCell ref="T3:U4"/>
    <mergeCell ref="V3:W4"/>
    <mergeCell ref="F4:G4"/>
    <mergeCell ref="H4:I4"/>
    <mergeCell ref="J4:K4"/>
    <mergeCell ref="L4:M4"/>
    <mergeCell ref="N4:O4"/>
    <mergeCell ref="P4:Q4"/>
    <mergeCell ref="R4:S4"/>
    <mergeCell ref="A26:B26"/>
  </mergeCells>
  <phoneticPr fontId="2" type="noConversion"/>
  <printOptions horizontalCentered="1"/>
  <pageMargins left="0.2" right="0.2" top="0.43" bottom="0.23" header="0.28999999999999998" footer="0.16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20</vt:i4>
      </vt:variant>
    </vt:vector>
  </HeadingPairs>
  <TitlesOfParts>
    <vt:vector size="30" baseType="lpstr">
      <vt:lpstr>도지사(A)</vt:lpstr>
      <vt:lpstr>시장(A)</vt:lpstr>
      <vt:lpstr>도의원(2A)</vt:lpstr>
      <vt:lpstr>시의원(가A)</vt:lpstr>
      <vt:lpstr>시의원(나A)</vt:lpstr>
      <vt:lpstr>시의원(다A)</vt:lpstr>
      <vt:lpstr>시의원(라A)</vt:lpstr>
      <vt:lpstr>교육감(A)</vt:lpstr>
      <vt:lpstr>도의원(비례A)</vt:lpstr>
      <vt:lpstr>시의원(비례A)</vt:lpstr>
      <vt:lpstr>'교육감(A)'!Print_Area</vt:lpstr>
      <vt:lpstr>'도의원(2A)'!Print_Area</vt:lpstr>
      <vt:lpstr>'도의원(비례A)'!Print_Area</vt:lpstr>
      <vt:lpstr>'도지사(A)'!Print_Area</vt:lpstr>
      <vt:lpstr>'시의원(가A)'!Print_Area</vt:lpstr>
      <vt:lpstr>'시의원(나A)'!Print_Area</vt:lpstr>
      <vt:lpstr>'시의원(다A)'!Print_Area</vt:lpstr>
      <vt:lpstr>'시의원(라A)'!Print_Area</vt:lpstr>
      <vt:lpstr>'시의원(비례A)'!Print_Area</vt:lpstr>
      <vt:lpstr>'시장(A)'!Print_Area</vt:lpstr>
      <vt:lpstr>'교육감(A)'!Print_Titles</vt:lpstr>
      <vt:lpstr>'도의원(2A)'!Print_Titles</vt:lpstr>
      <vt:lpstr>'도의원(비례A)'!Print_Titles</vt:lpstr>
      <vt:lpstr>'도지사(A)'!Print_Titles</vt:lpstr>
      <vt:lpstr>'시의원(가A)'!Print_Titles</vt:lpstr>
      <vt:lpstr>'시의원(나A)'!Print_Titles</vt:lpstr>
      <vt:lpstr>'시의원(다A)'!Print_Titles</vt:lpstr>
      <vt:lpstr>'시의원(라A)'!Print_Titles</vt:lpstr>
      <vt:lpstr>'시의원(비례A)'!Print_Titles</vt:lpstr>
      <vt:lpstr>'시장(A)'!Print_Titles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snoopy</cp:lastModifiedBy>
  <cp:lastPrinted>2014-06-04T22:24:32Z</cp:lastPrinted>
  <dcterms:created xsi:type="dcterms:W3CDTF">2008-04-06T03:15:09Z</dcterms:created>
  <dcterms:modified xsi:type="dcterms:W3CDTF">2014-06-05T01:34:15Z</dcterms:modified>
</cp:coreProperties>
</file>